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1.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lisjen\Desktop\"/>
    </mc:Choice>
  </mc:AlternateContent>
  <xr:revisionPtr revIDLastSave="0" documentId="8_{C849E111-A5E1-4B3D-A0A4-7DE1A96E3F20}" xr6:coauthVersionLast="47" xr6:coauthVersionMax="47" xr10:uidLastSave="{00000000-0000-0000-0000-000000000000}"/>
  <bookViews>
    <workbookView xWindow="6315" yWindow="2550" windowWidth="18390" windowHeight="14700" xr2:uid="{00000000-000D-0000-FFFF-FFFF00000000}"/>
  </bookViews>
  <sheets>
    <sheet name="FORSIDEN" sheetId="1" r:id="rId1"/>
    <sheet name="Utbyggingsinformasjon" sheetId="2" r:id="rId2"/>
    <sheet name="Resultat" sheetId="6" r:id="rId3"/>
    <sheet name="Forutsetninger og beregninger"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78" i="3" l="1"/>
  <c r="D376" i="3"/>
  <c r="E265" i="3" l="1"/>
  <c r="E266" i="3"/>
  <c r="E267" i="3"/>
  <c r="E268" i="3"/>
  <c r="F268" i="3" s="1"/>
  <c r="E269" i="3"/>
  <c r="E264" i="3"/>
  <c r="E167" i="3"/>
  <c r="J206" i="3" s="1"/>
  <c r="E165" i="3"/>
  <c r="I97" i="3"/>
  <c r="D91" i="3"/>
  <c r="H91" i="3" s="1"/>
  <c r="E168" i="3"/>
  <c r="K208" i="3" s="1"/>
  <c r="E166" i="3"/>
  <c r="D398" i="3"/>
  <c r="D396" i="3"/>
  <c r="D394" i="3"/>
  <c r="D395" i="3"/>
  <c r="D397" i="3"/>
  <c r="F425" i="3"/>
  <c r="D425" i="3"/>
  <c r="D404" i="3"/>
  <c r="D402" i="3"/>
  <c r="E361" i="3"/>
  <c r="E367" i="3" s="1"/>
  <c r="D390" i="3" s="1"/>
  <c r="E362" i="3"/>
  <c r="E364" i="3"/>
  <c r="E365" i="3"/>
  <c r="D361" i="3"/>
  <c r="D362" i="3"/>
  <c r="E363" i="3"/>
  <c r="D364" i="3"/>
  <c r="D365" i="3"/>
  <c r="D388" i="3"/>
  <c r="E413" i="3"/>
  <c r="G36" i="2"/>
  <c r="E42" i="3"/>
  <c r="G42" i="3"/>
  <c r="J42" i="3" s="1"/>
  <c r="G37" i="2"/>
  <c r="E43" i="3"/>
  <c r="G43" i="3" s="1"/>
  <c r="E44" i="3"/>
  <c r="I44" i="3" s="1"/>
  <c r="E45" i="3"/>
  <c r="G45" i="3" s="1"/>
  <c r="J45" i="3" s="1"/>
  <c r="E46" i="3"/>
  <c r="G46" i="3"/>
  <c r="J46" i="3" s="1"/>
  <c r="E47" i="3"/>
  <c r="G47" i="3" s="1"/>
  <c r="E48" i="3"/>
  <c r="G48" i="3"/>
  <c r="E49" i="3"/>
  <c r="I49" i="3" s="1"/>
  <c r="C67" i="3"/>
  <c r="I42" i="3"/>
  <c r="I45" i="3"/>
  <c r="I46" i="3"/>
  <c r="G81" i="3"/>
  <c r="F117" i="3"/>
  <c r="G118" i="3" s="1"/>
  <c r="E121" i="3"/>
  <c r="M77" i="2"/>
  <c r="H129" i="3"/>
  <c r="I129" i="3"/>
  <c r="K129" i="3"/>
  <c r="N80" i="2"/>
  <c r="D235" i="3"/>
  <c r="E235" i="3"/>
  <c r="F235" i="3" s="1"/>
  <c r="G235" i="3" s="1"/>
  <c r="E196" i="3"/>
  <c r="F196" i="3" s="1"/>
  <c r="I213" i="3"/>
  <c r="D236" i="3"/>
  <c r="G236" i="3" s="1"/>
  <c r="F236" i="3"/>
  <c r="D266" i="3"/>
  <c r="F266" i="3" s="1"/>
  <c r="D264" i="3"/>
  <c r="F264" i="3"/>
  <c r="D265" i="3"/>
  <c r="D267" i="3"/>
  <c r="D268" i="3"/>
  <c r="D269" i="3"/>
  <c r="F269" i="3" s="1"/>
  <c r="C278" i="3"/>
  <c r="F13" i="6"/>
  <c r="F91" i="3"/>
  <c r="G91" i="3" s="1"/>
  <c r="F61" i="2" s="1"/>
  <c r="D129" i="3"/>
  <c r="E129" i="3"/>
  <c r="G129" i="3"/>
  <c r="F80" i="2"/>
  <c r="D181" i="3"/>
  <c r="F181" i="3" s="1"/>
  <c r="D182" i="3"/>
  <c r="F182" i="3"/>
  <c r="H182" i="3" s="1"/>
  <c r="D13" i="6"/>
  <c r="G196" i="3"/>
  <c r="D353" i="3"/>
  <c r="G38" i="2"/>
  <c r="G39" i="2"/>
  <c r="G40" i="2"/>
  <c r="G41" i="2"/>
  <c r="G42" i="2"/>
  <c r="G43" i="2"/>
  <c r="G44" i="2"/>
  <c r="F14" i="6"/>
  <c r="D14" i="6"/>
  <c r="C366" i="3"/>
  <c r="D351" i="3"/>
  <c r="D389" i="3" s="1"/>
  <c r="E316" i="3"/>
  <c r="K425" i="3" s="1"/>
  <c r="D316" i="3"/>
  <c r="G413" i="3" s="1"/>
  <c r="F304" i="3"/>
  <c r="E304" i="3"/>
  <c r="D304" i="3"/>
  <c r="G194" i="3"/>
  <c r="G193" i="3"/>
  <c r="F194" i="3"/>
  <c r="F193" i="3"/>
  <c r="H49" i="3"/>
  <c r="H48" i="3"/>
  <c r="I48" i="3" s="1"/>
  <c r="J48" i="3" s="1"/>
  <c r="H47" i="3"/>
  <c r="I47" i="3" s="1"/>
  <c r="H46" i="3"/>
  <c r="H45" i="3"/>
  <c r="H44" i="3"/>
  <c r="H43" i="3"/>
  <c r="H42" i="3"/>
  <c r="F49" i="3"/>
  <c r="F48" i="3"/>
  <c r="F47" i="3"/>
  <c r="F46" i="3"/>
  <c r="F45" i="3"/>
  <c r="F44" i="3"/>
  <c r="G44" i="3" s="1"/>
  <c r="J44" i="3" s="1"/>
  <c r="F43" i="3"/>
  <c r="F42" i="3"/>
  <c r="K31" i="3"/>
  <c r="K30" i="3"/>
  <c r="K29" i="3"/>
  <c r="K28" i="3"/>
  <c r="K27" i="3"/>
  <c r="K26" i="3"/>
  <c r="K25" i="3"/>
  <c r="K24" i="3"/>
  <c r="E366" i="3"/>
  <c r="E11" i="3"/>
  <c r="D352" i="3" s="1"/>
  <c r="D380" i="3"/>
  <c r="D403" i="3" s="1"/>
  <c r="D405" i="3" s="1"/>
  <c r="E181" i="3"/>
  <c r="G181" i="3"/>
  <c r="E182" i="3"/>
  <c r="I181" i="3"/>
  <c r="F19" i="6"/>
  <c r="D19" i="6"/>
  <c r="E77" i="3"/>
  <c r="J208" i="3"/>
  <c r="D8" i="6"/>
  <c r="D7" i="6"/>
  <c r="E114" i="2"/>
  <c r="M55" i="2"/>
  <c r="F23" i="6"/>
  <c r="D23" i="6"/>
  <c r="F25" i="6"/>
  <c r="F24" i="6"/>
  <c r="F22" i="6"/>
  <c r="F21" i="6"/>
  <c r="F20" i="6"/>
  <c r="F18" i="6"/>
  <c r="F17" i="6"/>
  <c r="F16" i="6"/>
  <c r="D16" i="6"/>
  <c r="F15" i="6"/>
  <c r="H325" i="3"/>
  <c r="E415" i="3" s="1"/>
  <c r="F325" i="3"/>
  <c r="G325" i="3" s="1"/>
  <c r="D325" i="3"/>
  <c r="E326" i="3"/>
  <c r="D327" i="3"/>
  <c r="E327" i="3" s="1"/>
  <c r="I326" i="3"/>
  <c r="I328" i="3"/>
  <c r="G326" i="3"/>
  <c r="G328" i="3"/>
  <c r="E328" i="3"/>
  <c r="E325" i="3"/>
  <c r="D413" i="3"/>
  <c r="H327" i="3"/>
  <c r="I327" i="3" s="1"/>
  <c r="F327" i="3"/>
  <c r="G327" i="3"/>
  <c r="E301" i="3"/>
  <c r="E303" i="3"/>
  <c r="E302" i="3"/>
  <c r="E78" i="3"/>
  <c r="J207" i="3"/>
  <c r="K211" i="3"/>
  <c r="J209" i="3"/>
  <c r="J211" i="3"/>
  <c r="H181" i="3" l="1"/>
  <c r="H183" i="3" s="1"/>
  <c r="H184" i="3" s="1"/>
  <c r="E97" i="2" s="1"/>
  <c r="E54" i="6" s="1"/>
  <c r="J181" i="3"/>
  <c r="J183" i="3" s="1"/>
  <c r="J184" i="3" s="1"/>
  <c r="F97" i="2" s="1"/>
  <c r="E32" i="6" s="1"/>
  <c r="K213" i="3"/>
  <c r="K225" i="3" s="1"/>
  <c r="J47" i="3"/>
  <c r="J91" i="3"/>
  <c r="K91" i="3" s="1"/>
  <c r="J92" i="3"/>
  <c r="K92" i="3" s="1"/>
  <c r="J93" i="3"/>
  <c r="K93" i="3" s="1"/>
  <c r="F225" i="3"/>
  <c r="K97" i="3"/>
  <c r="M61" i="2" s="1"/>
  <c r="M62" i="2" s="1"/>
  <c r="D391" i="3"/>
  <c r="J43" i="3"/>
  <c r="J50" i="3" s="1"/>
  <c r="F46" i="2" s="1"/>
  <c r="E427" i="3"/>
  <c r="G427" i="3" s="1"/>
  <c r="J427" i="3" s="1"/>
  <c r="H427" i="3"/>
  <c r="F415" i="3"/>
  <c r="H415" i="3" s="1"/>
  <c r="K210" i="3"/>
  <c r="J182" i="3"/>
  <c r="J210" i="3"/>
  <c r="J213" i="3"/>
  <c r="J225" i="3" s="1"/>
  <c r="K207" i="3"/>
  <c r="G117" i="3"/>
  <c r="I43" i="3"/>
  <c r="I50" i="3" s="1"/>
  <c r="K206" i="3"/>
  <c r="K209" i="3"/>
  <c r="E414" i="3"/>
  <c r="E426" i="3" s="1"/>
  <c r="G426" i="3" s="1"/>
  <c r="G49" i="3"/>
  <c r="J49" i="3" s="1"/>
  <c r="E425" i="3"/>
  <c r="G425" i="3" s="1"/>
  <c r="F267" i="3"/>
  <c r="I325" i="3"/>
  <c r="F265" i="3"/>
  <c r="N81" i="2"/>
  <c r="D399" i="3"/>
  <c r="F414" i="3" s="1"/>
  <c r="I413" i="3"/>
  <c r="I425" i="3"/>
  <c r="F270" i="3"/>
  <c r="F224" i="3"/>
  <c r="J223" i="3"/>
  <c r="H236" i="3" s="1"/>
  <c r="I236" i="3" s="1"/>
  <c r="G224" i="3"/>
  <c r="E30" i="6" l="1"/>
  <c r="E52" i="6"/>
  <c r="J425" i="3"/>
  <c r="E60" i="3"/>
  <c r="E67" i="3" s="1"/>
  <c r="G76" i="3" s="1"/>
  <c r="E63" i="3"/>
  <c r="E62" i="3"/>
  <c r="E61" i="3"/>
  <c r="E64" i="3"/>
  <c r="G223" i="3"/>
  <c r="J235" i="3" s="1"/>
  <c r="K235" i="3" s="1"/>
  <c r="H425" i="3"/>
  <c r="F413" i="3"/>
  <c r="H413" i="3" s="1"/>
  <c r="H416" i="3" s="1"/>
  <c r="H417" i="3" s="1"/>
  <c r="E138" i="2" s="1"/>
  <c r="E56" i="6" s="1"/>
  <c r="G50" i="3"/>
  <c r="H414" i="3"/>
  <c r="F223" i="3"/>
  <c r="H235" i="3" s="1"/>
  <c r="I235" i="3" s="1"/>
  <c r="I237" i="3" s="1"/>
  <c r="I238" i="3" s="1"/>
  <c r="M97" i="2" s="1"/>
  <c r="E80" i="2"/>
  <c r="G121" i="3"/>
  <c r="M80" i="2" s="1"/>
  <c r="K223" i="3"/>
  <c r="J236" i="3" s="1"/>
  <c r="K236" i="3" s="1"/>
  <c r="G225" i="3"/>
  <c r="H426" i="3"/>
  <c r="J426" i="3" s="1"/>
  <c r="K224" i="3"/>
  <c r="J224" i="3"/>
  <c r="J414" i="3"/>
  <c r="L427" i="3"/>
  <c r="L425" i="3"/>
  <c r="J415" i="3"/>
  <c r="F116" i="2"/>
  <c r="D278" i="3"/>
  <c r="E278" i="3" s="1"/>
  <c r="M116" i="2" s="1"/>
  <c r="J428" i="3" l="1"/>
  <c r="J429" i="3" s="1"/>
  <c r="M138" i="2" s="1"/>
  <c r="F56" i="6" s="1"/>
  <c r="L426" i="3"/>
  <c r="E31" i="6"/>
  <c r="E53" i="6"/>
  <c r="D64" i="3"/>
  <c r="F64" i="3" s="1"/>
  <c r="D63" i="3"/>
  <c r="F63" i="3" s="1"/>
  <c r="D60" i="3"/>
  <c r="D62" i="3"/>
  <c r="F62" i="3" s="1"/>
  <c r="D61" i="3"/>
  <c r="F61" i="3" s="1"/>
  <c r="J413" i="3"/>
  <c r="K237" i="3"/>
  <c r="K238" i="3" s="1"/>
  <c r="N97" i="2" s="1"/>
  <c r="M81" i="2"/>
  <c r="F53" i="6"/>
  <c r="F31" i="6"/>
  <c r="L428" i="3"/>
  <c r="L429" i="3" s="1"/>
  <c r="N138" i="2" s="1"/>
  <c r="F34" i="6" s="1"/>
  <c r="J416" i="3"/>
  <c r="J417" i="3" s="1"/>
  <c r="F138" i="2" s="1"/>
  <c r="E34" i="6" s="1"/>
  <c r="E55" i="6"/>
  <c r="E33" i="6"/>
  <c r="M117" i="2"/>
  <c r="F55" i="6"/>
  <c r="F33" i="6"/>
  <c r="F54" i="6"/>
  <c r="M98" i="2"/>
  <c r="M139" i="2" l="1"/>
  <c r="F60" i="3"/>
  <c r="F67" i="3" s="1"/>
  <c r="D67" i="3"/>
  <c r="F76" i="3" s="1"/>
  <c r="F32" i="6"/>
  <c r="N98" i="2"/>
  <c r="E57" i="6"/>
  <c r="E58" i="6" s="1"/>
  <c r="N139" i="2"/>
  <c r="E35" i="6"/>
  <c r="E36" i="6" s="1"/>
  <c r="F77" i="3" l="1"/>
  <c r="H77" i="3" s="1"/>
  <c r="H76" i="3"/>
  <c r="H81" i="3" s="1"/>
  <c r="M46" i="2" s="1"/>
  <c r="F78" i="3"/>
  <c r="H78" i="3" s="1"/>
  <c r="F52" i="6" l="1"/>
  <c r="F57" i="6" s="1"/>
  <c r="M47" i="2"/>
  <c r="F30" i="6"/>
  <c r="F35" i="6" s="1"/>
  <c r="F36" i="6" l="1"/>
  <c r="E38" i="6"/>
  <c r="H38" i="6"/>
  <c r="E60" i="6"/>
  <c r="H60" i="6"/>
  <c r="F58" i="6"/>
</calcChain>
</file>

<file path=xl/sharedStrings.xml><?xml version="1.0" encoding="utf-8"?>
<sst xmlns="http://schemas.openxmlformats.org/spreadsheetml/2006/main" count="691" uniqueCount="443">
  <si>
    <t>Antall boenheter</t>
  </si>
  <si>
    <t>Bygningstype</t>
  </si>
  <si>
    <t>Areal</t>
  </si>
  <si>
    <t>(m2 BTA)</t>
  </si>
  <si>
    <t>(m2 BRA)</t>
  </si>
  <si>
    <t>Antall</t>
  </si>
  <si>
    <t xml:space="preserve">Bygningsmateriale </t>
  </si>
  <si>
    <t>(bæresystem)</t>
  </si>
  <si>
    <t>Kjeller</t>
  </si>
  <si>
    <t>Ja</t>
  </si>
  <si>
    <t>Nei</t>
  </si>
  <si>
    <t>Tre</t>
  </si>
  <si>
    <t>Betong</t>
  </si>
  <si>
    <t>2 + kjeller</t>
  </si>
  <si>
    <t>Med kjeller</t>
  </si>
  <si>
    <t>Uten kjeller</t>
  </si>
  <si>
    <t>Boligblokk i stål/betong</t>
  </si>
  <si>
    <t>2</t>
  </si>
  <si>
    <t>Stål/betong</t>
  </si>
  <si>
    <t>Utslippsfaktorer (kg CO2e/m2 BRA)</t>
  </si>
  <si>
    <t>Øvrige materialer</t>
  </si>
  <si>
    <t>Sum utslipp</t>
  </si>
  <si>
    <t>Bygningskategori</t>
  </si>
  <si>
    <t>Utslippsfaktor</t>
  </si>
  <si>
    <t>TABELL A1 - Utslippsfaktorer bygningsmasse</t>
  </si>
  <si>
    <t>Betongtype</t>
  </si>
  <si>
    <t>Lavkarbon A</t>
  </si>
  <si>
    <t>Lavkarbon Pluss</t>
  </si>
  <si>
    <t xml:space="preserve">Reduksjon fra </t>
  </si>
  <si>
    <t>default (%)</t>
  </si>
  <si>
    <t>Asfalttype</t>
  </si>
  <si>
    <t>Lavtemperaturasfalt</t>
  </si>
  <si>
    <t>Gjenbruksasfalt</t>
  </si>
  <si>
    <t>TABELL A2 - Beregning av utslipp fra bygningsmasse</t>
  </si>
  <si>
    <t>Samlet</t>
  </si>
  <si>
    <t>TABELL A4 - Effekt av ulike betongtype</t>
  </si>
  <si>
    <t>Asfaltert areal (m2)</t>
  </si>
  <si>
    <t>Velg asfalttype</t>
  </si>
  <si>
    <t>FORUTSETNINGER OG BEREGNINGER</t>
  </si>
  <si>
    <t>Boligtype</t>
  </si>
  <si>
    <t>Lavenergi</t>
  </si>
  <si>
    <t>Passivhus</t>
  </si>
  <si>
    <t>TABELL B2 - Utslipp fra ulike energikilder</t>
  </si>
  <si>
    <t>Energikilde</t>
  </si>
  <si>
    <t>Solcelle</t>
  </si>
  <si>
    <t>Varmepumpe (luft-luft)</t>
  </si>
  <si>
    <t>Fjernvarme</t>
  </si>
  <si>
    <t>Ved</t>
  </si>
  <si>
    <t>NS3720 tabell B.1, NO (gjennomsnitt 2015-2075)</t>
  </si>
  <si>
    <t>NS3720 tabell B.1, EU28+NO (gjennomsnitt 2015-2075)</t>
  </si>
  <si>
    <t>Fordeling energikilder (%)</t>
  </si>
  <si>
    <t>Sol</t>
  </si>
  <si>
    <t>Varmepumpe (luft)</t>
  </si>
  <si>
    <t>Samlet utslipp (gCO2e/kWt)</t>
  </si>
  <si>
    <t>Norsk miks</t>
  </si>
  <si>
    <t>Europeisk miks</t>
  </si>
  <si>
    <t>Enebolig og rekkehus</t>
  </si>
  <si>
    <t>Blokk</t>
  </si>
  <si>
    <t>Valgt standard</t>
  </si>
  <si>
    <t>TEK17 (default)</t>
  </si>
  <si>
    <r>
      <t xml:space="preserve">Boligblokk i stål/betong
</t>
    </r>
    <r>
      <rPr>
        <i/>
        <sz val="10"/>
        <color theme="1"/>
        <rFont val="Calibri"/>
        <family val="2"/>
        <scheme val="minor"/>
      </rPr>
      <t>(med kjeller)</t>
    </r>
  </si>
  <si>
    <r>
      <t xml:space="preserve">Bolig blokk i tre
</t>
    </r>
    <r>
      <rPr>
        <i/>
        <sz val="10"/>
        <color theme="1"/>
        <rFont val="Calibri"/>
        <family val="2"/>
        <scheme val="minor"/>
      </rPr>
      <t>(med betong kjeller)</t>
    </r>
  </si>
  <si>
    <t>Lavkarbon B (default)</t>
  </si>
  <si>
    <t>tCO2e</t>
  </si>
  <si>
    <t>Tiltak for å redusere utslipp fra bygningsmasse</t>
  </si>
  <si>
    <t>Reduksjon i snitt areal</t>
  </si>
  <si>
    <t>TABELL A3 - Effekt av redusert boligareal</t>
  </si>
  <si>
    <r>
      <t xml:space="preserve">Redusert snitt areal
</t>
    </r>
    <r>
      <rPr>
        <i/>
        <sz val="10"/>
        <color theme="1"/>
        <rFont val="Calibri"/>
        <family val="2"/>
        <scheme val="minor"/>
      </rPr>
      <t>Ved å redusere snitt areal på boligene vil utslipp knyttet til bygningsmasse kunne reduseres. Velg ønsket prosentvis reduksjon.</t>
    </r>
  </si>
  <si>
    <r>
      <rPr>
        <b/>
        <i/>
        <sz val="10"/>
        <color theme="1"/>
        <rFont val="Calibri"/>
        <family val="2"/>
        <scheme val="minor"/>
      </rPr>
      <t xml:space="preserve">Lavkarbon betong
</t>
    </r>
    <r>
      <rPr>
        <i/>
        <sz val="10"/>
        <color theme="1"/>
        <rFont val="Calibri"/>
        <family val="2"/>
        <scheme val="minor"/>
      </rPr>
      <t>Betong er et av bygningsmaterialene med høyeste klimagassutslipp og mange produsenter har utviklet betongtyper med lavere klimagassutslipp. Ved å velge en betongtype med lavere klimagassutslipp, kan klimapåvirkning av byggeprosjektet reduseres.</t>
    </r>
  </si>
  <si>
    <t>Velg betongtype</t>
  </si>
  <si>
    <t>% reduksjon</t>
  </si>
  <si>
    <t xml:space="preserve">Redusere snitt areal </t>
  </si>
  <si>
    <t>TABELL 2 - Asfalterte arealer</t>
  </si>
  <si>
    <t xml:space="preserve">Tiltak for å redusere utslipp </t>
  </si>
  <si>
    <t>Oppgitt totalt areal med asfaltdekke i utbyggingen. Dette inkluderer både kjørevei, parkeringsplasser med mer.</t>
  </si>
  <si>
    <t>Redusert asfaltert areal</t>
  </si>
  <si>
    <t>Opprinnelig asfaltert areal</t>
  </si>
  <si>
    <t>Energiklasse</t>
  </si>
  <si>
    <t>El-spesifikk</t>
  </si>
  <si>
    <t>Varme/tappevann</t>
  </si>
  <si>
    <r>
      <t xml:space="preserve">Endre byggestandard
</t>
    </r>
    <r>
      <rPr>
        <i/>
        <sz val="10"/>
        <color theme="1"/>
        <rFont val="Calibri"/>
        <family val="2"/>
        <scheme val="minor"/>
      </rPr>
      <t>Utbyggeren har mulighet til å bygge boligene til en høyere energistandard enn TEK17. Dette vil kunne redusere energibehov til oppvarming, noe som kan gi redusert klimagassutslipp. Velg evt. høyere energistandard for boligene.</t>
    </r>
  </si>
  <si>
    <t>Velg byggestandard</t>
  </si>
  <si>
    <t>Velg energikilder (El-spesifikk)</t>
  </si>
  <si>
    <t>Sum areal
(m2)</t>
  </si>
  <si>
    <t>Energiforbruk
(kWt/m2)</t>
  </si>
  <si>
    <t>Sum forbruk
(kWt/år)</t>
  </si>
  <si>
    <t>TABELL B7 - Beregning av utslipp fra energiforsyning - med tiltak</t>
  </si>
  <si>
    <t>Klimakalkulator for reguleringsplaner</t>
  </si>
  <si>
    <t xml:space="preserve">Klimakalkulatoren er bygd opp med to kolonner. Til venstre er bakgrunnsinformasjon om utbyggingen hvor utbyggeren kan legge inn informasjon om bygningsmasse, asfalterte arealer og avstand til ulike reisemål (gule felt). Basert på bakgrunnsinformasjonen beregner kalkulatoren et klimagassutslipp.
Kolonne til høyde inneholder ulike tiltak som utbyggeren kan velge for å senke klimagassutslipp. Kalkulatoren beregner ut nytt klimagassutslipp med tiltak.
</t>
  </si>
  <si>
    <t>Prosent reduksjon</t>
  </si>
  <si>
    <t>Valgmuligheter</t>
  </si>
  <si>
    <t>Prosentreduksjon</t>
  </si>
  <si>
    <t>Solfanger</t>
  </si>
  <si>
    <t xml:space="preserve">Elektrisitet </t>
  </si>
  <si>
    <t>TABELL B4 - Scenarioer for energiforsyning (El-spesifikk)</t>
  </si>
  <si>
    <t>TABELL B5 - Scenarioer for energiforsyning  (varme/tappevann)</t>
  </si>
  <si>
    <t>Tre, betongkjeller</t>
  </si>
  <si>
    <t>etasjer</t>
  </si>
  <si>
    <t>3 + kjeller</t>
  </si>
  <si>
    <t>(kg CO2e/m2 BRA)</t>
  </si>
  <si>
    <t>Sum utslipp
(t CO2e/legging)</t>
  </si>
  <si>
    <t>Utslippsfaktor
(kg CO2e/m2 asfalt)</t>
  </si>
  <si>
    <t>Asfaltert areal
(m2)</t>
  </si>
  <si>
    <t>Asfaltgrusbetong (default)</t>
  </si>
  <si>
    <t xml:space="preserve">Asfaltert areal benyttes for å beregne utslipp knyttet til asfalt. Kalkulatoren gir mulighet å velge tiltak for å redusere klimagassutslipp fra asfalt, enten ved å redusere asfaltert areal eller ved valg av asfalttyper med lavere klimafotavtrykk. Kalkulatoren forutsetter at asfalt har en 30 års levetid, og må dermed legges på nytt en gang i løpet av et 60-års perspektiv. Utslippstall er dermed doblet for å gjenspeile dette. Utslippsfaktorene for asfalt er hentet fra VegLCA og det er antatt at det legges et 5 cm tykt lag. </t>
  </si>
  <si>
    <t>Samlet utslipp (g CO2e/kWt)</t>
  </si>
  <si>
    <t>Energiforbruk
(kWt/m2/år)</t>
  </si>
  <si>
    <t>Utslippsfaktor
(g CO2e/kWt)</t>
  </si>
  <si>
    <t>Utslippsfaktor 
(g CO2e/kWt)</t>
  </si>
  <si>
    <t>Utslipp
(t CO2e/år)</t>
  </si>
  <si>
    <t>(t CO2e)</t>
  </si>
  <si>
    <t>Arealtype</t>
  </si>
  <si>
    <t>Bebygd areal</t>
  </si>
  <si>
    <t>Skog, lav bonitet</t>
  </si>
  <si>
    <t>Skog, middels bonitet</t>
  </si>
  <si>
    <t>Skog, høy bonitet</t>
  </si>
  <si>
    <t>Jordbruksareal/innmarksbeite</t>
  </si>
  <si>
    <t>Myr</t>
  </si>
  <si>
    <t>Utslippsfaktor
(kg CO2e/m2)</t>
  </si>
  <si>
    <t>Utslipp
(t CO2e)</t>
  </si>
  <si>
    <t>Sum</t>
  </si>
  <si>
    <t>t CO2e</t>
  </si>
  <si>
    <t xml:space="preserve">Kalkulatoren er bygd opp med ulike bygningstype med og uten kjeller. For å forenkle kalkulatoren, og unngå behov for detaljert kunnskap over bygningene, er det lagt til grunn standard forutsetninger for de ulike kategoriene (se Tabell A1). Det er benyttet OneClickLCA til beregning av utslippsfaktorene, og det er i hovedsak benyttet default verdier i programvaren. Resultat er utslippsfaktorer per m2 BRA, og disse benyttes til å regne ut sum utslipp basert på data over planlagt utbyggingen. Resultatet gir en indikasjon over størrelsesorden knyttet til bygningsmasse, den gir ikke en nøyaktig klimagassbudsjett for utbyggingen. </t>
  </si>
  <si>
    <t>Utslipp fra energiforbruk i bygningsmasse beregnes ut fra sum areal oppgitt for utbyggingen, valgt bygningsstandard og valgt scenario for fordeling av energikilder. Netto forbruk beregnes for bygningsmasse, og utslippsfaktor basert på valgt scenario for fordeling av energikilder benyttes for å beregne netto utslipp. Årlig utslipp er deretter omgjort til utslipp fra levetiden (60 år).</t>
  </si>
  <si>
    <t xml:space="preserve"> (kg CO2e/m3 betong)</t>
  </si>
  <si>
    <t>Tiltak for å redusere utslipp fra energiforbruk</t>
  </si>
  <si>
    <t>europeisk miks</t>
  </si>
  <si>
    <t>norsk miks</t>
  </si>
  <si>
    <t>Boligblokk i tre/betong kjeller</t>
  </si>
  <si>
    <t>Tiltak for å redusere utslipp fra arealbruk</t>
  </si>
  <si>
    <t>Type bil</t>
  </si>
  <si>
    <t>Diesel (inkl. hybrider)</t>
  </si>
  <si>
    <t xml:space="preserve">Bensin </t>
  </si>
  <si>
    <t xml:space="preserve">Diesel </t>
  </si>
  <si>
    <t>Elektrisk</t>
  </si>
  <si>
    <t>Bensin (inkl. hybrider)</t>
  </si>
  <si>
    <t>Frittliggende småhus i tre</t>
  </si>
  <si>
    <t>Frittliggende småhus i betong</t>
  </si>
  <si>
    <t>Konsentrert småhusbebyggelse</t>
  </si>
  <si>
    <t>Arbeidsdager per år</t>
  </si>
  <si>
    <t>Arbeidsreiser per år</t>
  </si>
  <si>
    <t>Arbeidstakere per boenhet</t>
  </si>
  <si>
    <t>Arbeidsreiser per boenhet per år</t>
  </si>
  <si>
    <t>Forutsetning</t>
  </si>
  <si>
    <t>Destinasjon</t>
  </si>
  <si>
    <t>Andel</t>
  </si>
  <si>
    <t>Oslo</t>
  </si>
  <si>
    <t>Drammen</t>
  </si>
  <si>
    <t>Prosentvis andel, 2019</t>
  </si>
  <si>
    <t>Antall, 
2019</t>
  </si>
  <si>
    <t>Arealtype som endres</t>
  </si>
  <si>
    <t>Areal (m2)</t>
  </si>
  <si>
    <t>Omgjort areal 
(m2)</t>
  </si>
  <si>
    <t>Småhus (frittstående og konsentrert bebyggelse)</t>
  </si>
  <si>
    <t>Boligblokk</t>
  </si>
  <si>
    <t>Kilde/kommentar</t>
  </si>
  <si>
    <t>C. Arealbruksendringer</t>
  </si>
  <si>
    <t>TABELL C1 - Utslippsfaktorer for arealbruksendringer</t>
  </si>
  <si>
    <t>TABELL C2 - Beregning av utslipp fra arealbruksendring</t>
  </si>
  <si>
    <t>Asker</t>
  </si>
  <si>
    <t>Bærum</t>
  </si>
  <si>
    <t>Lier</t>
  </si>
  <si>
    <t xml:space="preserve">Kommentar </t>
  </si>
  <si>
    <t>Andel privat bil</t>
  </si>
  <si>
    <t>Andel kollektivt, gange og sykkel</t>
  </si>
  <si>
    <t>Fremskrevet</t>
  </si>
  <si>
    <t>Basert på nåværende fordeling</t>
  </si>
  <si>
    <t>Prosentvis andel, 2020-2079</t>
  </si>
  <si>
    <t>Gjennomsnitt bilpark</t>
  </si>
  <si>
    <t>Arbeidsreiser</t>
  </si>
  <si>
    <t>Følge- og omsorgsreiser</t>
  </si>
  <si>
    <t>Kollektivknutepunkt</t>
  </si>
  <si>
    <t>Sted</t>
  </si>
  <si>
    <t>Kjøpesenter</t>
  </si>
  <si>
    <t>Dagligvarebutikk</t>
  </si>
  <si>
    <t>0,5 - 1 km</t>
  </si>
  <si>
    <t>Skole/barnehage</t>
  </si>
  <si>
    <t>D. Transport</t>
  </si>
  <si>
    <t>Kommentar</t>
  </si>
  <si>
    <t>Lierbyen</t>
  </si>
  <si>
    <t>Lier stasjon</t>
  </si>
  <si>
    <t>Asker stasjon</t>
  </si>
  <si>
    <t>-</t>
  </si>
  <si>
    <t>Brakerøya stasjon</t>
  </si>
  <si>
    <t>Liertoppen</t>
  </si>
  <si>
    <t>Turer til dagligvarebutikk (per uke)</t>
  </si>
  <si>
    <t>Turer til dagligvarebutikk (per år)</t>
  </si>
  <si>
    <t>Turer til kjøpesenter (per uke)</t>
  </si>
  <si>
    <t>Turer til kjøpesenter (per år)</t>
  </si>
  <si>
    <t xml:space="preserve">Det antas at hver boenhet i gjennomsnitt handler dagligvarer 3 ganger per uke, dvs. at strekningen kjøres 6 ganger når man regner tur/retur. </t>
  </si>
  <si>
    <t>Antall boenheter (boenhet)</t>
  </si>
  <si>
    <t>Turer til dagligvare (tur/boenhet.år)</t>
  </si>
  <si>
    <t>Turer til kjøpesenter (tur/boenhet.år)</t>
  </si>
  <si>
    <t>Avstand til dagligvare (km/tur)</t>
  </si>
  <si>
    <t>Avstand til kjøpesenter (km/tur)</t>
  </si>
  <si>
    <t>Turer til skole/bhg (per uke)</t>
  </si>
  <si>
    <t>Turer til skole/bhg (per år)</t>
  </si>
  <si>
    <t>Antall boenheter med barn (boenhet)</t>
  </si>
  <si>
    <t>Turer til skole/bhg (tur/boenhet.år)</t>
  </si>
  <si>
    <t>Avstand til skole/bhg (km/tur)</t>
  </si>
  <si>
    <t xml:space="preserve">Det antas at hver boenhet i gjennomsnitt reiser på kjøpesenter 0,5 ganger per uke, dvs. at strekningen kjøres 1 gang når man regner tur/retur. </t>
  </si>
  <si>
    <t>Det antas at barn fraktes til skole og barnehage 5 ganger per uke, dvs. at strekningen kjøres 10 ganger når man regner tur/retur. Det er lagt til grunn 38 skoleuker per år.</t>
  </si>
  <si>
    <t xml:space="preserve">Brukeren kan velge mellom kollektivknuteunktene og kjøpesentrene som er vist listene nedenfor. Avstanden fra utbyggingsområdet til kollektivknutepunkt og kjøpesenter legges inn i fanen "Utbyggingsinformasjon". </t>
  </si>
  <si>
    <t>Handels- og tjenestereiser</t>
  </si>
  <si>
    <t>Omsorgs- og følgereiser</t>
  </si>
  <si>
    <t>over 60 år</t>
  </si>
  <si>
    <t>Distanse (km/år)</t>
  </si>
  <si>
    <t>Utslipp NO 
(t CO2e/år)</t>
  </si>
  <si>
    <t>Utslipp EU 
(t CO2e/år)</t>
  </si>
  <si>
    <t>Type reise</t>
  </si>
  <si>
    <t>Velg avstand</t>
  </si>
  <si>
    <t>Befolkning og husholdninger i Lier kommune</t>
  </si>
  <si>
    <t xml:space="preserve">Antall husholdninger </t>
  </si>
  <si>
    <t>SSB statistikkbanken, 2020</t>
  </si>
  <si>
    <t xml:space="preserve">Antall innbyggerne </t>
  </si>
  <si>
    <t>SSB statistikkbanken, 2021</t>
  </si>
  <si>
    <t>Arbeidsledighet</t>
  </si>
  <si>
    <t>SSB statistikkbanken, 2019</t>
  </si>
  <si>
    <t>Beregnet: ("antall i arbeidsalder" - "arbeidsledige") / "antall husholdninger"</t>
  </si>
  <si>
    <t>Genrell informasjon om kommunen</t>
  </si>
  <si>
    <t>Avstander til ulike tilbud</t>
  </si>
  <si>
    <t>Jordbruksareal (inkl. innmarksbeite)</t>
  </si>
  <si>
    <t>Avstand til Skøyen antatt representativ</t>
  </si>
  <si>
    <t>Avstand til Bragernes torg antatt representativ</t>
  </si>
  <si>
    <t>Avstand til Lier rådhus antatt representativ</t>
  </si>
  <si>
    <t>Avstand til Asker sentrum antatt representativ</t>
  </si>
  <si>
    <t>Avstand til Sandvika antatt representativ</t>
  </si>
  <si>
    <t>Tiltak for å redusere utslipp fra transport</t>
  </si>
  <si>
    <t>Sum per år</t>
  </si>
  <si>
    <t>TABELL D1 - Fordeling av biltyper i Lier kommune</t>
  </si>
  <si>
    <t>TABELL D2 - Utslippsfaktorer for transportmidler</t>
  </si>
  <si>
    <t xml:space="preserve">TABELL D3 - Transportmiddelfordeling </t>
  </si>
  <si>
    <t>TABELL D4 - Kollektivknutepunkter og handelsdestinasjoner</t>
  </si>
  <si>
    <t xml:space="preserve">TABELL D5 - Arbeidsreiser: Reisemønster </t>
  </si>
  <si>
    <t>TABELL D6 - Arbeidsreiser: Destinasjon</t>
  </si>
  <si>
    <t xml:space="preserve">TABELL D7 - Handels- og tjenestereiser: Reisemønster </t>
  </si>
  <si>
    <t>TABELL D8 - Kjørte kilometer som genereres for ulike formål</t>
  </si>
  <si>
    <t>TABELL D9 - Beregning av utslipp fra transport</t>
  </si>
  <si>
    <t>Energibruk</t>
  </si>
  <si>
    <t>Arealbruksendring</t>
  </si>
  <si>
    <t>Transport</t>
  </si>
  <si>
    <t>Bygningsmasse og uteområder</t>
  </si>
  <si>
    <t>Sum levetid (60 år)</t>
  </si>
  <si>
    <t xml:space="preserve">Vektet gjennomsnittlig avstand til arbeidsdestinasjoner </t>
  </si>
  <si>
    <t>Andel privatbil basert på valgt nærhet til holdeplass</t>
  </si>
  <si>
    <t>Antall arbeidstakere (pers)</t>
  </si>
  <si>
    <t>Turer til arbeid (tur/pers.år)</t>
  </si>
  <si>
    <t>Totale kjørte kilometer (km/år)</t>
  </si>
  <si>
    <t>Andel husholdninger med barn, 0-12 år</t>
  </si>
  <si>
    <t>Beregnet med utangspunkt i SSB statistikkbanken, 2021</t>
  </si>
  <si>
    <t>Kilder</t>
  </si>
  <si>
    <t>Redusert tilgang til parkering</t>
  </si>
  <si>
    <t>Tilretteligging for gange og sykling</t>
  </si>
  <si>
    <t>Avstand til ulike destinasjoner</t>
  </si>
  <si>
    <r>
      <t xml:space="preserve">Fossilfri byggeplass
</t>
    </r>
    <r>
      <rPr>
        <i/>
        <sz val="10"/>
        <color theme="1"/>
        <rFont val="Calibri"/>
        <family val="2"/>
        <scheme val="minor"/>
      </rPr>
      <t xml:space="preserve">Ved å stille krav til fossilfri drift av byggeplassen er det mulig å redusere klimagassutslippene fra byggefasen. </t>
    </r>
  </si>
  <si>
    <t>Tiltak for å redusere utslipp fra byggefasen</t>
  </si>
  <si>
    <t>Velg type byggeplassdrift</t>
  </si>
  <si>
    <t>Type byggeplassdrift</t>
  </si>
  <si>
    <t>Utslippsfaktor 
(kg CO2e/m2 BRA)</t>
  </si>
  <si>
    <t>Utslipp 
(tonn CO2e)</t>
  </si>
  <si>
    <t>Byggeplass med fossil diesel (default)</t>
  </si>
  <si>
    <t>Byggeplass</t>
  </si>
  <si>
    <t>Sum areal 
(m2 BRA)</t>
  </si>
  <si>
    <t>Fossilfri byggeplass med biodiesel</t>
  </si>
  <si>
    <t>TABELL 6 - Transport</t>
  </si>
  <si>
    <t>1 - 2 km</t>
  </si>
  <si>
    <t>over 2 km</t>
  </si>
  <si>
    <t>under 0,5 km</t>
  </si>
  <si>
    <t>TABELL C3 - Utslipp ved redusert areal som omgjøres</t>
  </si>
  <si>
    <t>Valgt reduksjon</t>
  </si>
  <si>
    <t>Fyll ut tabellene med avstanden fra utbyggingsområdet (målt i km) til de gitte destinasjonene. For avstand til bussholdeplass må avstanden velges fra menyen. For kollektivknutepunkt og kjøpesenter er det satt opp alternativer for destinasjon i kolonnen "Sted", som kan velges fra menyen. Alle avstander må være fylt inn for at antall kjørte kilometer som genereres for hvert utbyggingsområde skal kunne beregnes.</t>
  </si>
  <si>
    <t>Tabellen under gir flere scenarioer for energiforsyning til boligene. Energibehovet er delt mellom el-spesifikk og varme/tappevann, og en fordeling av energikildene er gjort for begge disse kategoriene. Denne tabellen gjelder fordeling for el-spesifikk. Kalkulatoren legger til grunn at den samme fordelingen gjelder alle boliger i utbyggingen.</t>
  </si>
  <si>
    <t>Scenario</t>
  </si>
  <si>
    <t>Fordelingen er hentet fra SSB sin tabell nr. 11823 Registrerte kjøretøy etter drivstofftype fra år 2019, som viser fordelingen mellom typer personbiler i kommunen. I tabellen er ladbare og ikke-ladbare diesel- og bensinhybrider slått sammen med hhv. rene diesel og bensinbiler. Biltyper med andre drivstoff er antatt neglisjerbare da disse utgjorde en minimal del av den totale bilbestanden i kommunen. For å reflektere endringen i kjøretøybestanden 60 år frem i tid, og ta høyde for at andelen elbiler vil øke, er det benyttet et gjennomsnitt for 2020-2079 i beregningene. Gjennomsnittet er basert på en fremskriving av kjøretøyparken av TØI, og NB19-banen er benyttet.</t>
  </si>
  <si>
    <t>Transportmiddelfordelingen som er lagt til grunn er hentet fra RVU for Buskerudbyen utført av Urbanet Analyse i 2018. Fordelingen av arbeidsreiser og service- og tjenestereiser er gjeldende for Lier kommune. Fordelingen av følge- og omsorgsreiser, som her er antatt å representere turer til/fra skole og barnehage,  er gjeldende for Buskerudbyen og antatt representativ for Lier kommune. I RVUen finnes også oversikt over befolkningens avstand til nærmeste kollektivholdeplass. Et vektet gjennomsnitt av alle svarene for Lier kommune viste en gjennomsnittlig avstand på 940 m. Det er derfor antatt at transportmiddelfordelingen som fremkom i analysen er gjeldende for intervallet 0,5 - 1 km som vist i tabellen. Avstandens påvirkning på kortere eller lengre avstand til holdeplass er antatt basert på den ordinære fordelingen. Fordelingene er antatt gjeldene for avstand til bussholdeplass med tilbud til destinasjon og frekvens 30 min eller bedre.</t>
  </si>
  <si>
    <t xml:space="preserve">Det er tatt utgangspunkt i at et årsverk i gjennomsnitt består av 230 arbeidsdager. Dette tallet gir en pekepinn på hvor mange arbeidsreiser som genereres per boenhet årlig. </t>
  </si>
  <si>
    <t>Beregnet fra "arbeidsreiser per år" og "arbeidstakere per boenehet"</t>
  </si>
  <si>
    <t xml:space="preserve">Det er lagt til grunn at hver boenhet handler dagligvarer og tar turen til kjøpesenter et visst antall ganger i uken. Det er også lagt til grunn at den andelen av boenhetene som har barn frakter og henter barn på skole eller i barnehage et visst antall ganger. Disse turene brukes videre i tabell D8 for å beregne antall kjørte kilometer per år basert på ulike reiseformål. </t>
  </si>
  <si>
    <t xml:space="preserve">Tabellene nedenfor beregner hvor mange kjørte kilometer som genereres for hhv. arbeidsreiser, handels- og tjenestereiser, samt omsorgs- og følgereiser per år for det gitte utbyggingområdet. </t>
  </si>
  <si>
    <t>Valgt nærhet til bussholdeplass</t>
  </si>
  <si>
    <t>Utslippsfaktor bilpark, m/NO el
(g CO2e/pkm)</t>
  </si>
  <si>
    <t>Utslippsfaktor bilpark, m/EU el 
(g CO2e/pkm)</t>
  </si>
  <si>
    <t xml:space="preserve">Klimagassutslipp for transporten som genereres fra utbyggingsområdet beregnes i denne tabellen. Andelen privatbil som legges til grunn er basert på valget som ble gjort i fanen "Utbyggingsinformasjon"  for avstand til bussholdeplass. Kjørt distanse per år stammer fra tabell D8 og utslippsfaktorene for bilparken er et gjennomsnitt over 60 år som beregnet i tabell D2. </t>
  </si>
  <si>
    <t>Energiklasse
(kWt/m2 BRA/år)</t>
  </si>
  <si>
    <t>Tabell D10 - Beregning av utslipp fra transport med med tiltak - parkering</t>
  </si>
  <si>
    <t>Tilrettelegging for sykkel</t>
  </si>
  <si>
    <t>Parkeringsrestriksjoner</t>
  </si>
  <si>
    <t>Tiltak for gange og sykling</t>
  </si>
  <si>
    <t>Nei (default)</t>
  </si>
  <si>
    <t>Andel privatbil gitt valgte parkeringsrestiskjoner</t>
  </si>
  <si>
    <t>Andel privatbil gitt valgt tilrettelegging  for sykkel</t>
  </si>
  <si>
    <t>Oppsummering av resultater</t>
  </si>
  <si>
    <t>Utbyggingsområde:</t>
  </si>
  <si>
    <t>Hovedscenario</t>
  </si>
  <si>
    <t>Scenario med tiltak</t>
  </si>
  <si>
    <t>Energiklasse bygg</t>
  </si>
  <si>
    <t>Energiforsyning, el</t>
  </si>
  <si>
    <t>Strøm</t>
  </si>
  <si>
    <t>Energiforsyning, varme</t>
  </si>
  <si>
    <t>Tiltak sykkel</t>
  </si>
  <si>
    <t>Dato:</t>
  </si>
  <si>
    <t>Sum ubebygd areal som endres</t>
  </si>
  <si>
    <t>Strøm (panelovn/elkjel)</t>
  </si>
  <si>
    <t>Fyll inn navn</t>
  </si>
  <si>
    <t>=</t>
  </si>
  <si>
    <t>MED EUROPEISK ELMIKS</t>
  </si>
  <si>
    <t>MED NORSK ELMIKS</t>
  </si>
  <si>
    <t>tonn CO2e</t>
  </si>
  <si>
    <t xml:space="preserve">Endring i klimagassutslipp med tiltak: </t>
  </si>
  <si>
    <t>Forutsetninger for beregningene</t>
  </si>
  <si>
    <t>Utbyggingsområde</t>
  </si>
  <si>
    <t>Dato for utfylling</t>
  </si>
  <si>
    <t>Fyll inn dato</t>
  </si>
  <si>
    <t>Varmepumpe (væske)</t>
  </si>
  <si>
    <t>Strøm og varmepumpe (luft-luft)</t>
  </si>
  <si>
    <t>Strøm og varmepumpe (væske-vann)</t>
  </si>
  <si>
    <t>Strøm og vedfyring</t>
  </si>
  <si>
    <t>Strøm og solfanger (tappevann)</t>
  </si>
  <si>
    <t xml:space="preserve">Arbeidstakere per boenhet </t>
  </si>
  <si>
    <t>Kalkulatoren benytter utslippsfaktorene fra Tabell A1 og inndata for prosjektet fra Tabell 1. Beregning av utslipp fra betong holdes adskilt for å kunne synliggjøre effekten knyttet til ulike type betong (se tabell A4).</t>
  </si>
  <si>
    <t>TABELL A7 - Utslipp fra byggeplass, massetransport</t>
  </si>
  <si>
    <t xml:space="preserve">TABELL A6 - Utslipp fra byggeplass, anleggsmaskiner </t>
  </si>
  <si>
    <t>Utslippsfaktor 
(kg CO2e/tonn.km)</t>
  </si>
  <si>
    <t>Mengde masser 
(tonn)</t>
  </si>
  <si>
    <t>Massetransport</t>
  </si>
  <si>
    <t>Velg prosent reduksjon i masser</t>
  </si>
  <si>
    <t>Ny mengde masse (tonn)</t>
  </si>
  <si>
    <t>Bedre massebalanse</t>
  </si>
  <si>
    <t>TABELL B1 - Totalt netto energibehov</t>
  </si>
  <si>
    <t>Opprinnelig mengde masser</t>
  </si>
  <si>
    <t>Redusert mengde masser</t>
  </si>
  <si>
    <t>massetransport</t>
  </si>
  <si>
    <t>anleggsmaskiner</t>
  </si>
  <si>
    <t xml:space="preserve">Ved å minimere mengden masser som transporteres inn eller ut av byggeplassen kan man redusere klimgassutslippene fra massetransport. </t>
  </si>
  <si>
    <t>Anleggsmaskiner</t>
  </si>
  <si>
    <t>Massetransport (tonn)</t>
  </si>
  <si>
    <t>Nytt asfaltert areal (m2)</t>
  </si>
  <si>
    <r>
      <rPr>
        <b/>
        <sz val="11"/>
        <color theme="1"/>
        <rFont val="Calibri"/>
        <family val="2"/>
        <scheme val="minor"/>
      </rPr>
      <t xml:space="preserve">Bruk av kalkulatoren
</t>
    </r>
    <r>
      <rPr>
        <sz val="11"/>
        <color theme="1"/>
        <rFont val="Calibri"/>
        <family val="2"/>
        <scheme val="minor"/>
      </rPr>
      <t>Klimakalkulatoren er bygd opp i Excel slik at forutsetninger og beregninger er synlige. Utbyggeren skal fylle ut informasjon om utbyggingen i fanen &lt;</t>
    </r>
    <r>
      <rPr>
        <i/>
        <sz val="11"/>
        <color theme="1"/>
        <rFont val="Calibri"/>
        <family val="2"/>
        <scheme val="minor"/>
      </rPr>
      <t>Utbyggingsinformasjon</t>
    </r>
    <r>
      <rPr>
        <sz val="11"/>
        <color theme="1"/>
        <rFont val="Calibri"/>
        <family val="2"/>
        <scheme val="minor"/>
      </rPr>
      <t xml:space="preserve">&gt;. Cellene som skal fylles ut av brukeren er gule. </t>
    </r>
  </si>
  <si>
    <r>
      <t>Begrensninger</t>
    </r>
    <r>
      <rPr>
        <sz val="11"/>
        <color theme="1"/>
        <rFont val="Calibri"/>
        <family val="2"/>
        <scheme val="minor"/>
      </rPr>
      <t xml:space="preserve">
Klimakalkulatoren er ikke en fritekst kalkulator, den er bygd opp med standard forutsetninger og predefinerte scenarioer og enkelte valgmuligheter. Følgelig gir klimakalkulatoren en indikasjon av klimagassutslipp, og ikke et absolutt tall eller detaljert klimagassbudsjett. Videre, fokuserer klimakalkulatoren på utvalgte kilder til vesentlig klimagassutslipp, og hvor det er mulighet til å påvirke disse gjennom reguleringsplanbestemmelser eller krav fra kommunen. Kalkulatoren gir dermed ikke et fult bilde av alt utslipp fra en utbygging, og det er det relative utslippet som er av størst interesse for å vurdere effekten av ulike tiltak og justeringer, samt for kommunen å sammenligne ulike utbyggingsprosjekter med hverandre. Ytterlige kommentarer knyttet til forutsetninger, begrensninger og forbehold gis i fane &lt;</t>
    </r>
    <r>
      <rPr>
        <i/>
        <sz val="11"/>
        <color theme="1"/>
        <rFont val="Calibri"/>
        <family val="2"/>
        <scheme val="minor"/>
      </rPr>
      <t>Forutsetninger og beregninger</t>
    </r>
    <r>
      <rPr>
        <sz val="11"/>
        <color theme="1"/>
        <rFont val="Calibri"/>
        <family val="2"/>
        <scheme val="minor"/>
      </rPr>
      <t>&gt;.</t>
    </r>
  </si>
  <si>
    <t>Resultater</t>
  </si>
  <si>
    <r>
      <t>En oversikt over de beregnede klimagassutslippene for utbyggingsområdet vises i i fanen &lt;</t>
    </r>
    <r>
      <rPr>
        <i/>
        <sz val="11"/>
        <color theme="1"/>
        <rFont val="Calibri"/>
        <family val="2"/>
        <scheme val="minor"/>
      </rPr>
      <t>Resultat</t>
    </r>
    <r>
      <rPr>
        <sz val="11"/>
        <color theme="1"/>
        <rFont val="Calibri"/>
        <family val="2"/>
        <scheme val="minor"/>
      </rPr>
      <t>&gt; fordelt på de ulike temaene. Denne fanen er tilpasset i størrelse slik at den kan printes ut eller lagres som PDF. All tekst og resultater genereres automatisk ut ifra brukerens input og valg i fanen &lt;</t>
    </r>
    <r>
      <rPr>
        <i/>
        <sz val="11"/>
        <color theme="1"/>
        <rFont val="Calibri"/>
        <family val="2"/>
        <scheme val="minor"/>
      </rPr>
      <t>Utbyggingsinformasjon</t>
    </r>
    <r>
      <rPr>
        <sz val="11"/>
        <color theme="1"/>
        <rFont val="Calibri"/>
        <family val="2"/>
        <scheme val="minor"/>
      </rPr>
      <t xml:space="preserve">&gt;. </t>
    </r>
  </si>
  <si>
    <t>Velg prosent reduksjon</t>
  </si>
  <si>
    <t xml:space="preserve">Antall innbyggerne i arbeidsalder (18-66 år) </t>
  </si>
  <si>
    <t xml:space="preserve">Statistikk om befolkningen i Lier kommune er hentet fra statistikkbanken til SSB. </t>
  </si>
  <si>
    <t>Befolkningsstatistikk</t>
  </si>
  <si>
    <t xml:space="preserve">OneClick LCA er benyttet for å beregne utslipp fra bygningsmasse. Denne kalkulatoren skal ikke beregne nøyaktig klimagassutslipp fra bygningsmasse, og det er beregnet utslippsfaktorer for typiske bygningstyper. For frittliggende småhus er det tatt utgangspunkt i en enebolig og for konsentrert småhusbebyggelse er det tatt utgangspunkt i rekkehus. Tabellen under viser fortusetningene som er lagt til grunn i OneClick og beregning av utslippsfaktorene. Utslippsfaktoren inkluderer livsløpsfasene materialproduksjon og -transport til byggeplass, byggefase (kapp og svinn), vedlikehold og utskiftninger, samt avhending av bygningsmassen etter 60 år. </t>
  </si>
  <si>
    <t>Kalkulatoren åpner for ulike tiltak knyttet for å redusere klimagassutslipp fra bygningsmassen. Tabell A3 regner ut utslipp fra bygningsmasse med tiltak knyttet til en redusert snitt areal (m2 BRA).</t>
  </si>
  <si>
    <t xml:space="preserve">Kalkulatoren er bygd opp med utgangspunkt i standard faktorer for energiforbruk i bolig. Disse benyttes til å beregne netto energibehov for bygningsmassen. Utslippsfaktorene er avhengig av hvilke energikilder som benyttes, og fordelingen mellom disse. Kalkulatoren inkluderer flere typiske scenarioer for fordeling av energikilder i boliger, og utbyggeren skal velge det scenarioet som vurderes som mest relevant. Det bør bemerkes at utslipp fra energikilder kun gir en indikasjon over faktisk forbruk og utslipp. Faktisk forbruk er avhengig av flere forhold, bl.a. beboernes faktisk forbruk og drift/valg av energikilder mm. Det vil ikke være en garanti at beboerne vil bruke en energikilde i driftsfasen. </t>
  </si>
  <si>
    <t xml:space="preserve">Kalkulatoren regner ut utslipp i et 60-års perspektiv. Utslippsfaktorene for elektrisitet og fjernvarme baserer seg på forventet gjennomsnittstall for utslipp fra 2015 - 2075. Dette 60-årsgjennomsnittet antar at utslippene fra elektrisitet vil avta lineært til 2050 og forbli på det nivået til slutten av perioden. For fjernvarme er det antatt at utslippene vil være tilnærmet lik null i 2050. Dette antas å gi et representativt bilde av energirelaterte utslipp over et byggs livsløp. For å tilfredsstille krav til datagrunnlag for elektrisitet fra nett iht. NS 3720, benyttes det to ulike scenarioer for elektrisitetsforsyning; norsk og europeisk forbruksmiks. Utslippsfaktorene for solceller er hentet fra NS 3720 og inkluderer materialutslippet fra produksjon av solcellene. De øvrige tekniske systemene for de ulike energiforsyningsløsningene ser bort fra utslippet i produktstadiet, og inkluderer kun utslipp i driftsfasen. Utslippsfaktorene for varmepumpe er basert på utslippet fra elektrisitet, men medregnet gjeldende virkningsgrad slik at energiforbruket, og dermed også utslippene, reduseres. </t>
  </si>
  <si>
    <t>Norsk el-miks</t>
  </si>
  <si>
    <t>Europeisk el-miks</t>
  </si>
  <si>
    <t>Varmepumpe (væske-vann)</t>
  </si>
  <si>
    <t xml:space="preserve">Futurebuilts regneregler. Systemvirkningsgrad satt til 0,64 hentet fra NS3031. </t>
  </si>
  <si>
    <t>Boligblokk i tre</t>
  </si>
  <si>
    <t>Transport med lastebil</t>
  </si>
  <si>
    <t>Småhus (frittliggende og konsentrert)</t>
  </si>
  <si>
    <t>Destinasjon valgt av utbygger som nærmeste kollektivknutepkt.</t>
  </si>
  <si>
    <t>Antar to reiser per dag (tur/retur arbeidsplassen)</t>
  </si>
  <si>
    <t xml:space="preserve">Utslippsfaktoren som benyttes for å beregne klimagassutslipp fra byggeplass er hentet fra One Click LCA. Utslippsfaktoren som er brukt er definert som "Gjennomsnittlig byggeplasspåvirkning i Norden" og inkluderer utslipp både fra avfall som genereres på byggeplassen og drivstoffforbruk til anleggsmaskiner. Som default brukes utslippsfaktor for byggeplass med dieseldrevne maskiner, mens ved valg av fossilfri byggeplass er det antatt at maskinene benytter biodiesel. </t>
  </si>
  <si>
    <t>Standard tall for energiforbruk i småhus (enebolig og rekkehus) og boligblokk er hentet fra TEK 17 sine energirammer. Tallene for lavenergibygning og passivhus er beregnet fra NS 3700 Kriterier for passivhus og lavenergibygninger, med årsmiddeltemperatur 5.7 (forbrukerradet.no). Disse forbrukstallene benyttes til å regne ut totalt årlig energiforbruk i bygningsmassen.</t>
  </si>
  <si>
    <t xml:space="preserve">Utslippene fra arealbruksendringen beregnes ut ifra total areal som berøres av utbyggingen. For å finne arealtypene som finnes i utbyggingsområdet kan NIBIO sin ressurs "Kilden" benyttes (kilden.nibio.no). Her oppgis også boniteten i skogsområder. </t>
  </si>
  <si>
    <t>Det finnes ulike lavkarbonbetong-produkter på markedet, og valg av lavkarbonbetong kan være med på å redusere klimagassutslipp fra bygningsmassen. One Click LCA benytter lavkarbon B som default, og dette vurderes som en realistisk defaultverdi med tanke på tilgjengelighet i Lier-området. Som valgalternativer er det lagt inn lavkarbonklasse A og Pluss, som har lavere klimagassutslipp per mengdeenhet. Utslippsfaktorene i tabellen er hentet fra Norsk betongforening sin publikasjon 37 Lavkarbonbetong (2020). Beregninger i Tabell A4 tar hensyn til evt. redusert snitt bolig areal gitt i Tabell A3.</t>
  </si>
  <si>
    <t>TABELL 0 - Generell informasjon om utbyggingsområdet</t>
  </si>
  <si>
    <t>Bussholdeplass</t>
  </si>
  <si>
    <r>
      <t xml:space="preserve">Redusert asfaltert areal
</t>
    </r>
    <r>
      <rPr>
        <i/>
        <sz val="10"/>
        <color theme="1"/>
        <rFont val="Calibri"/>
        <family val="2"/>
        <scheme val="minor"/>
      </rPr>
      <t>Ved å redusere areal dekket med asfalt kan tilhørende utslipp reduseres. Velg en prosentreduksjon i asfaltert areal.</t>
    </r>
  </si>
  <si>
    <r>
      <rPr>
        <b/>
        <i/>
        <sz val="10"/>
        <color theme="1"/>
        <rFont val="Calibri"/>
        <family val="2"/>
        <scheme val="minor"/>
      </rPr>
      <t xml:space="preserve">Alternative asfalttyper
</t>
    </r>
    <r>
      <rPr>
        <i/>
        <sz val="10"/>
        <color theme="1"/>
        <rFont val="Calibri"/>
        <family val="2"/>
        <scheme val="minor"/>
      </rPr>
      <t xml:space="preserve">Det finnes alternative type asfalt som kan bidra til å redusere klimafotavtrykk for utbyggingsprosjektet. </t>
    </r>
  </si>
  <si>
    <t>Basert på tall fra SSB (angitt i avsnitt generell informasjon)</t>
  </si>
  <si>
    <t>Velg kollektivknutepunkt</t>
  </si>
  <si>
    <t>Velg kjøpesenter</t>
  </si>
  <si>
    <t xml:space="preserve">Ved valg av tiltaket som går på reduksjon av berørt areal legges det til grunn at alle de valgte arealtypene reduseres like mye (om utbyggingsområdet inneholder flere arealtyper). Dette er en forenkling og det er f.eks. ikke mulig å spesifisere at kun en gitt arealtype berøres av reduksjonen. Reduksjonen i utslipp vil derfor være proporsjonal med valgt reduksjon av areal. </t>
  </si>
  <si>
    <r>
      <t>Utslippsfaktorene som er benyttet i beregningene av klimagassutslipp fra arealbruksendringer er hentet fra VegLCA. For disse utslip</t>
    </r>
    <r>
      <rPr>
        <i/>
        <sz val="10"/>
        <rFont val="Calibri"/>
        <family val="2"/>
        <scheme val="minor"/>
      </rPr>
      <t>psfaktorene er det lagt til grunn at alt karbon som finnes i vegetasjon og jordsmonn frigis og at dette skjer over en periode på 60 år. I utslippsfaktoren for skog er både karbonet i vegetasjonen (trær) og skogbunnen medregnet. Det er differensiert mellom skog meg lav, middels og høy bonitet, hvor boniteten sier noe om skogens produksjonsevne.</t>
    </r>
    <r>
      <rPr>
        <i/>
        <sz val="10"/>
        <color theme="1"/>
        <rFont val="Calibri"/>
        <family val="2"/>
        <scheme val="minor"/>
      </rPr>
      <t xml:space="preserve"> </t>
    </r>
  </si>
  <si>
    <t xml:space="preserve">Kalkulatoren inkluderer beregning av klimagassutslipp fra arbeidsreiser, handels- og tjenestereiser, samt omsorg- og følgereiser som genereres av beboerne i ubyggingsområdet. Kalkultoren beregner klimagassutslippene fra personbiler, basert på transportmiddelfordelingen i kommunen for en gitt type reise. Om beboerne benytter kollektivt, går eller sykler til destinasjonen er dette i denne sammenheng antatt å være klimanøytralt. </t>
  </si>
  <si>
    <t xml:space="preserve">Sum areal
</t>
  </si>
  <si>
    <t xml:space="preserve">Snitt areal / boenhet
</t>
  </si>
  <si>
    <t>Nytt utslipp (t CO2e) over 60 år</t>
  </si>
  <si>
    <t>Sum utslipp (t CO2e) over 60 år</t>
  </si>
  <si>
    <t>Sum utslipp over 60 år (t CO2e)</t>
  </si>
  <si>
    <t>Massetransport - både inn/ut (tonn)</t>
  </si>
  <si>
    <t xml:space="preserve">Mye av klimgassutslippene fra byggefasen kommer fra anleggsmaskinene som benyttes på byggeplassen. I hovedberegningen er det lagt til grunn gjennomsnittlige utslipp fra byggeplass, hvor maskinene går på fossilt diesel. 
I tillegg vil massetransport bidra til klimgassutslipp fra et utbyggingsområde. Nedenfor skal sum mengde masser som transporteres inn og/eller ut av byggeplassen fylles inn. I tillegg skal det angis en omtrentlig avstand som massene transporteres.  
</t>
  </si>
  <si>
    <t>Transportavstand masser - en vei (km)</t>
  </si>
  <si>
    <t>Distanse en vei 
(km)</t>
  </si>
  <si>
    <t>Utslipp t/r
(tonn CO2e)</t>
  </si>
  <si>
    <t>Distanse en vei
(km)</t>
  </si>
  <si>
    <r>
      <t>Klimagassutslippene fra massetransport beregnes ut ifra antall tonn masser og avstanden som er lagt inn av brukeren i tabell 3. Utslippsfaktoren for transporten er hentet fra One Click LCA, og det er antatt at massene transportere</t>
    </r>
    <r>
      <rPr>
        <sz val="10"/>
        <color theme="1"/>
        <rFont val="Calibri"/>
        <family val="2"/>
        <scheme val="minor"/>
      </rPr>
      <t xml:space="preserve">s med lastebil. Det beregnes både utslipp for opprinnelig mengde masser som legges inn, samt utslipp ved valgt prosentvis reduksjon av masser. Kalkulatoren bruker samme utslippsfaktor for både lastebil med og uten last. </t>
    </r>
  </si>
  <si>
    <t>Elektrisitet fra nettet</t>
  </si>
  <si>
    <r>
      <t xml:space="preserve">Endre energikilder til elektrisitet og varme
</t>
    </r>
    <r>
      <rPr>
        <i/>
        <sz val="10"/>
        <color theme="1"/>
        <rFont val="Calibri"/>
        <family val="2"/>
        <scheme val="minor"/>
      </rPr>
      <t>Kalkulatoren benytter elektrisitet levert av nettselskap som default kilder for både el-spesifikk og varme. Ved å velge en annen sammensetning av energikilder kan det føre til redusert klimagassutslipp. Kalkulatoren inneholder et utvalg scenarioer for energiforsyning.</t>
    </r>
  </si>
  <si>
    <r>
      <t xml:space="preserve">Default beregning av utslipp fra energiforsyning i kalkulatoren baserer seg på TEK17 standard og bruk av 100  % elektrisitet fra nettet til oppvarming og alt elektrisk utstyr. </t>
    </r>
    <r>
      <rPr>
        <i/>
        <sz val="10"/>
        <rFont val="Calibri"/>
        <family val="2"/>
        <scheme val="minor"/>
      </rPr>
      <t>Tabell B7</t>
    </r>
    <r>
      <rPr>
        <i/>
        <sz val="10"/>
        <color theme="1"/>
        <rFont val="Calibri"/>
        <family val="2"/>
        <scheme val="minor"/>
      </rPr>
      <t xml:space="preserve"> inneholder en beregning av default utslipp etter eventuelle tiltak er valgt.</t>
    </r>
  </si>
  <si>
    <r>
      <t xml:space="preserve">Energiforbruk i bygninger er en viktig faktor i det totale utslippet i boligens levetid. Utslippstall som vises under baserer seg på standard forbrukstall for småhus og blokk, og at boligene bygges etter TEK17. Det legges også til grunn at all energi til elektriske apparater, oppvarming og varmtvann kommer fra strøm levert av nettselskap.
</t>
    </r>
    <r>
      <rPr>
        <i/>
        <sz val="10"/>
        <rFont val="Calibri"/>
        <family val="2"/>
        <scheme val="minor"/>
      </rPr>
      <t xml:space="preserve">
De beregnede klimagassutslippene fra energiforbruk i byggene vises for to scenarioer. Forskjellen er at det benyttes utslippsfaktor for norsk elektrisitetsmiks i det ene scenrioet og utslippsfaktor for europeisk elektrisitetsmiks i det andre.</t>
    </r>
    <r>
      <rPr>
        <i/>
        <sz val="10"/>
        <color theme="1"/>
        <rFont val="Calibri"/>
        <family val="2"/>
        <scheme val="minor"/>
      </rPr>
      <t xml:space="preserve">
</t>
    </r>
  </si>
  <si>
    <t>Velg energikilder (varme og varmtvann)</t>
  </si>
  <si>
    <t xml:space="preserve">Arealbruksendringer vil resultere i utslipp av klimagasser da det organiske materialet som er lagret i vegetasjonen og jordsmonnet som graves opp og fjernes vil brytes ned og karbon vil frigis. Kalkulatoren inkluderer ulike arealtyper hvor det kan angis hvor stort areal av hver type som går tapt som følge av utbyggingen. Utslippsfaktorene som er lagt til grunn representerer et scenario hvor alt biologisk materiale som finnes i vegetasjon og jord vil brytes ned og føre til utslipp av klimagasser. Hvor mye karbon som frigis vil avhenge av hva som skjer med massene etter at de er gravd opp og hvor mye som eventuelt ender opp på deponi og hvor mye som brukes til andre formål. Om arealet var bebygd eller uten økologisk verdi før utbyggingen beregnes det ikke klimagassutslipp for dette arealet. </t>
  </si>
  <si>
    <t xml:space="preserve">Arealbruksendringer kan potensielt bidra med betydelige klimagassutslipp for et utbyggingsområde. I tabellen skrives det inn hvor stort areal av de definerte arealtypene som omgjøres til bebygd areal. Med bebygd areal menes bebyggelse og anlegg, asfaltert areal og annen teknisk infrastruktur.
Oppgi areal på de ulike kategoriene under som vil omgjøres til bebygd areal. For informasjon om skogens bonitet, ser https://kilden.nibio.no/. Dersom bonitet ikke er kjent, velg middels bonitet.
</t>
  </si>
  <si>
    <t>Utslippsfaktor med norsk elmiks
(g CO2e/km)</t>
  </si>
  <si>
    <t>Utslippsfaktor med europeisk elmiks
(g CO2e/km)</t>
  </si>
  <si>
    <t xml:space="preserve">Utslippsfaktorene som er lagt til grunn for ulike biltyper er hentet fra NS 3720 tabell C.1. Det er tatt utgangspunkt i mellomstor personbil. Utslippsfaktoren inkluderer klimagassutslipp fra forbrenning av drivstoff, produksjon av drivstoff, samt produksjonen av bilen og infrastruktur. Utslippsfaktoren er oppgitt både for norsk og europeisk elektrisitetsmiks, da karbonintensiteten til elektrisiteten vil påvirke klimagassutslippene fra elbiler. </t>
  </si>
  <si>
    <t>Avstand en vei (km)</t>
  </si>
  <si>
    <t>Avstand  en vei(km)</t>
  </si>
  <si>
    <t>Destinasjonen for arbeidsreiser for bosatte i Lier kommune er hentet fra SSB sin tabell nr. 03321 "Sysselsatte (15-74 år), pendlingsstrømmer" fra 2019. De fem destinasjonene hvor flesteparten av kommunens innbyggere pendler til er inkludert i kalkulatoren. Disse destinasjonene utgjør destinasjonen for omtrent 90 % av de sysselsatte. Det er også lagt inn kollektivknutepunkt som valgmulighet for å reflektere at mange av reisene til f.eks Oslo benytter tog/buss videre fra et kollektivknutepunkt (f.eks busstasjon eller togstasjon). Kalkulatoren benytter RVU Buskerudbyen for å gi en antagelse om andel arbeidsreiser som benytte kollektivknutepunkter.</t>
  </si>
  <si>
    <t>Vektet avstand arbeidsplass (km)</t>
  </si>
  <si>
    <t>Klimagassutslipp over 60 år</t>
  </si>
  <si>
    <t>Utslipp over 60 år</t>
  </si>
  <si>
    <t>NS 3031:2014, tillegg B (systemvirkningsgrad 2,18)</t>
  </si>
  <si>
    <t>NS 3031:2014, tillegg B (systemvirkningsgrad 2,45)</t>
  </si>
  <si>
    <t>TABELL B3 - Beregning av utslipp fra energiforsyning - default (100% elektrisitet fra nettet)</t>
  </si>
  <si>
    <t>Opprinnelig utslipp 
(t CO2e)</t>
  </si>
  <si>
    <t>Redusert utslipp
(t CO2e)</t>
  </si>
  <si>
    <r>
      <t xml:space="preserve">Redusere areal som berøres av utbyggingen
</t>
    </r>
    <r>
      <rPr>
        <i/>
        <sz val="10"/>
        <rFont val="Calibri"/>
        <family val="2"/>
        <scheme val="minor"/>
      </rPr>
      <t xml:space="preserve">Ved å redusere andelen areal med vegetasjon som graves opp og berøres av utbyggingen er det mulig å redusere klimagassutslipp. Velg prosentandel reduksjon i beslaglagt areal. </t>
    </r>
  </si>
  <si>
    <t xml:space="preserve">Fyll ut tabellen med antall boenheter og snitt areal (målt som BRA). Det kan velges mellom predefinerte bygningskategorier med og uten kjeller. Det kan kombineres ulike bygningstyper. </t>
  </si>
  <si>
    <t>NS3720 tabell B.1, solenergi = 13-190 g CO2e/kWt, benyttet et gjennomsnitt</t>
  </si>
  <si>
    <t>One Click LCA, fjernvarme i Norge, forventet gjennomsnitt over neste 60 år</t>
  </si>
  <si>
    <t xml:space="preserve">Antakelse, antatt litt lavere enn solceller. </t>
  </si>
  <si>
    <t>Utslipp med valgt asfalttype:</t>
  </si>
  <si>
    <t xml:space="preserve">Utslipp med valgt betongtype: </t>
  </si>
  <si>
    <t>Utslipp med valgt reduksjon:</t>
  </si>
  <si>
    <t>Utslipp med valgt byggeplassdrift:</t>
  </si>
  <si>
    <t>Utslipp med valgt energikilde:</t>
  </si>
  <si>
    <t>Klimakalkulator for reguleringsplan - Lier kommune - Boligbygg</t>
  </si>
  <si>
    <r>
      <t xml:space="preserve">Tabellen under viser fordeling mellom energiforbruk til el-spesifikk og varme. Ved høyere bygningsstandard (f.eks lavenergi/passivhus) vil det være mindre varmebehov i boligen, og andel energiforbruk knyttet til varmen vil dermed være lavere. Fordelingen i denne tabellen benyttes for å regne ut en samlet utslippsfaktor basert på valg av energikilde gitt i tabell B4 og B5. Fordeling av energibehovet mellom el-spesifikk og varme baserer seg på fordelingen gitt i </t>
    </r>
    <r>
      <rPr>
        <i/>
        <sz val="10"/>
        <rFont val="Calibri"/>
        <family val="2"/>
        <scheme val="minor"/>
      </rPr>
      <t xml:space="preserve">One Click LCA. </t>
    </r>
  </si>
  <si>
    <t>TABELL B6 - Fordeling av energiforbruk mellom el-spesifikk og varme</t>
  </si>
  <si>
    <r>
      <t>Totalt over 60 år (tonn CO</t>
    </r>
    <r>
      <rPr>
        <b/>
        <vertAlign val="subscript"/>
        <sz val="10"/>
        <color theme="1"/>
        <rFont val="Calibri"/>
        <family val="2"/>
        <scheme val="minor"/>
      </rPr>
      <t>2</t>
    </r>
    <r>
      <rPr>
        <b/>
        <sz val="10"/>
        <color theme="1"/>
        <rFont val="Calibri"/>
        <family val="2"/>
        <scheme val="minor"/>
      </rPr>
      <t>e)</t>
    </r>
  </si>
  <si>
    <r>
      <t>Totalt areal (m</t>
    </r>
    <r>
      <rPr>
        <vertAlign val="superscript"/>
        <sz val="10"/>
        <color theme="1"/>
        <rFont val="Calibri"/>
        <family val="2"/>
        <scheme val="minor"/>
      </rPr>
      <t>2</t>
    </r>
    <r>
      <rPr>
        <sz val="10"/>
        <color theme="1"/>
        <rFont val="Calibri"/>
        <family val="2"/>
        <scheme val="minor"/>
      </rPr>
      <t xml:space="preserve"> BRA)</t>
    </r>
  </si>
  <si>
    <r>
      <t>Asfaltert areal (m</t>
    </r>
    <r>
      <rPr>
        <vertAlign val="superscript"/>
        <sz val="10"/>
        <color theme="1"/>
        <rFont val="Calibri"/>
        <family val="2"/>
        <scheme val="minor"/>
      </rPr>
      <t>2</t>
    </r>
    <r>
      <rPr>
        <sz val="10"/>
        <color theme="1"/>
        <rFont val="Calibri"/>
        <family val="2"/>
        <scheme val="minor"/>
      </rPr>
      <t>)</t>
    </r>
  </si>
  <si>
    <r>
      <t>Arealbruksendring (m</t>
    </r>
    <r>
      <rPr>
        <vertAlign val="superscript"/>
        <sz val="10"/>
        <color theme="1"/>
        <rFont val="Calibri"/>
        <family val="2"/>
        <scheme val="minor"/>
      </rPr>
      <t>2</t>
    </r>
    <r>
      <rPr>
        <sz val="10"/>
        <color theme="1"/>
        <rFont val="Calibri"/>
        <family val="2"/>
        <scheme val="minor"/>
      </rPr>
      <t>)</t>
    </r>
  </si>
  <si>
    <r>
      <t>Totalt over 60 år (tonn CO</t>
    </r>
    <r>
      <rPr>
        <b/>
        <vertAlign val="subscript"/>
        <sz val="11"/>
        <color theme="1"/>
        <rFont val="Calibri"/>
        <family val="2"/>
        <scheme val="minor"/>
      </rPr>
      <t>2</t>
    </r>
    <r>
      <rPr>
        <b/>
        <sz val="11"/>
        <color theme="1"/>
        <rFont val="Calibri"/>
        <family val="2"/>
        <scheme val="minor"/>
      </rPr>
      <t>e)</t>
    </r>
  </si>
  <si>
    <r>
      <t>Totalt over 60 år per boenhet 
(tonn CO</t>
    </r>
    <r>
      <rPr>
        <b/>
        <vertAlign val="subscript"/>
        <sz val="10"/>
        <color theme="1"/>
        <rFont val="Calibri"/>
        <family val="2"/>
        <scheme val="minor"/>
      </rPr>
      <t>2</t>
    </r>
    <r>
      <rPr>
        <b/>
        <sz val="10"/>
        <color theme="1"/>
        <rFont val="Calibri"/>
        <family val="2"/>
        <scheme val="minor"/>
      </rPr>
      <t>e/boenhet)</t>
    </r>
  </si>
  <si>
    <t xml:space="preserve">Ved valg av parkeringsrestriksjoner eller tilrettelegging for sykkel vil andel privatbil reduseres med to prosentpoeng for hvert av de valgte tiltakene.  </t>
  </si>
  <si>
    <t>Tabellen under gir flere scenarioer for energiforsyning til boligene. Energibehovet er delt mellom El-spesifikk og varme/tappevann, og en fordeling av energikildene er gjort for begge disse kategoriene. Denne tabellen gjelder energiforsyning for varme og tappevann. Kalkulatoren legger til grunn at den samme fordelingen gjelder alle boliger i utbyggingen.</t>
  </si>
  <si>
    <r>
      <rPr>
        <b/>
        <sz val="11"/>
        <color theme="1"/>
        <rFont val="Calibri"/>
        <family val="2"/>
        <scheme val="minor"/>
      </rPr>
      <t>Introduksjon</t>
    </r>
    <r>
      <rPr>
        <sz val="11"/>
        <color theme="1"/>
        <rFont val="Calibri"/>
        <family val="2"/>
        <scheme val="minor"/>
      </rPr>
      <t xml:space="preserve">
Klimakalkulatoren er utarbeidet som et overordnet og forenklet verktøy for å synliggjøre klimagassutslipp fra sentrale kilder i forbindelse med reguleringsplanarbeid. Kalkulatoren inneholder også tiltak som kan gjøres for å redusere klimagassutslipp. Utgangspunktet for tiltakslisten er avgrenset til forhold som kommunen kan stille krav til på reguleringsplannivå, eller som forslagsstiller selv kan fastsette i reguleringsbestemmelsene. Det er imidlertid med noen tiltak som faller utenfor dette. 
Klimakalkulatoren er utarbeidet for å gjelde utbyggingprosjekter i Lier kommune. Andre typer prosjekter som for eksempel samferdsel omfattes ikke av denne kalkulatoren. Fordi forutsetningene for utslipp for de ulike bebyggelsestypene er såpass ulik er det blitt utarbeidet en kalkulator for boligprosjekter og en kalkulator for næringbebyggelse. Næringsbebyggelse omfatter kontor, forretningbygg og industri/verksted.  Klimakalkulatoren er ikke en fritekst-kalkulator, og er basert på standard forutsetninger og predefinerte valg. Resultatene er ment som en indikasjon over klimagassutslipp og ikke et absolutt tall. Kalkulatoren erstatter ikke en fullverdig klimagassberegning for et prosjekt.</t>
    </r>
  </si>
  <si>
    <r>
      <t xml:space="preserve">Klimakalkulator for reguleringsplaner
</t>
    </r>
    <r>
      <rPr>
        <b/>
        <sz val="14"/>
        <color theme="1"/>
        <rFont val="Calibri"/>
        <family val="2"/>
        <scheme val="minor"/>
      </rPr>
      <t>BOLIGBYGG</t>
    </r>
  </si>
  <si>
    <t>Resultatrapport for utbyggingsområde</t>
  </si>
  <si>
    <t>BOLIGBYGG</t>
  </si>
  <si>
    <t>versjon 1.0 - sist oppdatert 11.05.2021, Norconsult.</t>
  </si>
  <si>
    <r>
      <t>Klimagassberegningene</t>
    </r>
    <r>
      <rPr>
        <sz val="11"/>
        <color theme="1"/>
        <rFont val="Calibri"/>
        <family val="2"/>
        <scheme val="minor"/>
      </rPr>
      <t xml:space="preserve">
Klimgassberegningene baserer seg på metodikken beskrevet i NS 3720 Metode for klimgassberegninger for bygninger, noe som legger til rette for et helhetlig bilde av utbyggingsområdenes klimagassutslipp i et livsløpsperspektiv. Kalkulatoren beregner utslipp for en antatt levetid på 60 år, da dette er satt som standars beregningsperiode i NS 3720. Kalkulatoren benytter annerkjente utslippsfaktorer og kildene oppgis i fanen &lt;</t>
    </r>
    <r>
      <rPr>
        <i/>
        <sz val="11"/>
        <color theme="1"/>
        <rFont val="Calibri"/>
        <family val="2"/>
        <scheme val="minor"/>
      </rPr>
      <t>Forutsetninger og beregninger</t>
    </r>
    <r>
      <rPr>
        <sz val="11"/>
        <color theme="1"/>
        <rFont val="Calibri"/>
        <family val="2"/>
        <scheme val="minor"/>
      </rPr>
      <t>&gt;. Klimagassutslipp oppgis med enhet CO</t>
    </r>
    <r>
      <rPr>
        <vertAlign val="subscript"/>
        <sz val="11"/>
        <color theme="1"/>
        <rFont val="Calibri"/>
        <family val="2"/>
        <scheme val="minor"/>
      </rPr>
      <t>2</t>
    </r>
    <r>
      <rPr>
        <sz val="11"/>
        <color theme="1"/>
        <rFont val="Calibri"/>
        <family val="2"/>
        <scheme val="minor"/>
      </rPr>
      <t>-ekvivalenter, forkortet CO</t>
    </r>
    <r>
      <rPr>
        <vertAlign val="subscript"/>
        <sz val="11"/>
        <color theme="1"/>
        <rFont val="Calibri"/>
        <family val="2"/>
        <scheme val="minor"/>
      </rPr>
      <t>2</t>
    </r>
    <r>
      <rPr>
        <sz val="11"/>
        <color theme="1"/>
        <rFont val="Calibri"/>
        <family val="2"/>
        <scheme val="minor"/>
      </rPr>
      <t>e. Enheten sammenveier utslipp av forskjellige klimagasser til den globale oppvarmingseffekten som utslipp av 1 tonn CO</t>
    </r>
    <r>
      <rPr>
        <vertAlign val="subscript"/>
        <sz val="11"/>
        <color theme="1"/>
        <rFont val="Calibri"/>
        <family val="2"/>
        <scheme val="minor"/>
      </rPr>
      <t>2</t>
    </r>
    <r>
      <rPr>
        <sz val="11"/>
        <color theme="1"/>
        <rFont val="Calibri"/>
        <family val="2"/>
        <scheme val="minor"/>
      </rPr>
      <t xml:space="preserve"> vil ha i løpet av 100 år</t>
    </r>
    <r>
      <rPr>
        <b/>
        <sz val="11"/>
        <color theme="1"/>
        <rFont val="Calibri"/>
        <family val="2"/>
        <scheme val="minor"/>
      </rPr>
      <t xml:space="preserve">
</t>
    </r>
    <r>
      <rPr>
        <sz val="11"/>
        <color theme="1"/>
        <rFont val="Calibri"/>
        <family val="2"/>
        <scheme val="minor"/>
      </rPr>
      <t>Temaene som omfattes av kalkulatoren er:
- Materialbruk i bygningsmassen og områder utomhus
- Materialtransport til byggeplass og byggefase
- Energibruk i drift av bygninger
- Arealbruksendringer som følge av utbyggingen
- Transport av beboere/brukere</t>
    </r>
  </si>
  <si>
    <t>TABELL 4 - Energibruk</t>
  </si>
  <si>
    <t>TABELL 3 - Byggeplass</t>
  </si>
  <si>
    <t>TABELL 5 - Arealbruksendringer</t>
  </si>
  <si>
    <t>TABELL 1 - Bygningsmasse og materialer</t>
  </si>
  <si>
    <t>A. Utslipp fra bygningsmasse og materialer</t>
  </si>
  <si>
    <t>TABELL A5 - Utslipp fra asfalterte arealer</t>
  </si>
  <si>
    <t>B. Energibruk i bygningsmassen</t>
  </si>
  <si>
    <t xml:space="preserve">Etablering av gang og sykkelveier kan bidra til at flere velger å sykle eller gå. Velg "ja" om det skal tilrettelegges for dette. </t>
  </si>
  <si>
    <t xml:space="preserve">Klimagassutslippene fra transport beregnes for utvalgte aktiviteter; arbeidsreiser, handles- og tjenestereiser og omsorgs- og følgereiser. Det er lagt til grunn en transportmiddelfordeling basert på avstanden som er valgt til bussholderplass. 
I hovedscenarioet er det antatt at det ikke finnes restriksjoner for parkering eller er spesielt tilrettelagt med gang- og sykkelveier i området. </t>
  </si>
  <si>
    <t xml:space="preserve">Reduserte parkeringsmuligheter kan bidra til å redusere andelen som velger å reise med privatbil. Velg "ja" om det legges opp til færre parkeringsplasser ved utbyggingsområdet enn det kommuneplanens norm beskriver. </t>
  </si>
  <si>
    <t>Strøm og solceller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</si>
</sst>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0.0"/>
    <numFmt numFmtId="166" formatCode="0.0\ %"/>
  </numFmts>
  <fonts count="33" x14ac:knownFonts="1">
    <font>
      <sz val="11"/>
      <color theme="1"/>
      <name val="Calibri"/>
      <family val="2"/>
      <scheme val="minor"/>
    </font>
    <font>
      <sz val="10"/>
      <color theme="1"/>
      <name val="Calibri"/>
      <family val="2"/>
      <scheme val="minor"/>
    </font>
    <font>
      <sz val="10"/>
      <color rgb="FFFF0000"/>
      <name val="Calibri"/>
      <family val="2"/>
      <scheme val="minor"/>
    </font>
    <font>
      <b/>
      <sz val="10"/>
      <color theme="1"/>
      <name val="Calibri"/>
      <family val="2"/>
      <scheme val="minor"/>
    </font>
    <font>
      <i/>
      <sz val="10"/>
      <color theme="1"/>
      <name val="Calibri"/>
      <family val="2"/>
      <scheme val="minor"/>
    </font>
    <font>
      <b/>
      <sz val="9"/>
      <color theme="1"/>
      <name val="Calibri"/>
      <family val="2"/>
      <scheme val="minor"/>
    </font>
    <font>
      <b/>
      <i/>
      <sz val="10"/>
      <color theme="1"/>
      <name val="Calibri"/>
      <family val="2"/>
      <scheme val="minor"/>
    </font>
    <font>
      <i/>
      <sz val="9"/>
      <color theme="1"/>
      <name val="Calibri"/>
      <family val="2"/>
      <scheme val="minor"/>
    </font>
    <font>
      <b/>
      <sz val="12"/>
      <color theme="1"/>
      <name val="Calibri"/>
      <family val="2"/>
      <scheme val="minor"/>
    </font>
    <font>
      <b/>
      <u/>
      <sz val="10"/>
      <color theme="1"/>
      <name val="Calibri"/>
      <family val="2"/>
      <scheme val="minor"/>
    </font>
    <font>
      <sz val="10"/>
      <color theme="1"/>
      <name val="Arial"/>
      <family val="2"/>
    </font>
    <font>
      <i/>
      <sz val="10"/>
      <color rgb="FFFF0000"/>
      <name val="Calibri"/>
      <family val="2"/>
      <scheme val="minor"/>
    </font>
    <font>
      <b/>
      <sz val="11"/>
      <color theme="1"/>
      <name val="Calibri"/>
      <family val="2"/>
      <scheme val="minor"/>
    </font>
    <font>
      <b/>
      <i/>
      <sz val="10"/>
      <color rgb="FFFF0000"/>
      <name val="Calibri"/>
      <family val="2"/>
      <scheme val="minor"/>
    </font>
    <font>
      <sz val="11"/>
      <color theme="1"/>
      <name val="Calibri"/>
      <family val="2"/>
      <scheme val="minor"/>
    </font>
    <font>
      <sz val="10"/>
      <name val="Calibri"/>
      <family val="2"/>
      <scheme val="minor"/>
    </font>
    <font>
      <b/>
      <sz val="10"/>
      <name val="Calibri"/>
      <family val="2"/>
      <scheme val="minor"/>
    </font>
    <font>
      <sz val="8"/>
      <name val="Calibri"/>
      <family val="2"/>
      <scheme val="minor"/>
    </font>
    <font>
      <sz val="9"/>
      <color theme="1"/>
      <name val="Calibri"/>
      <family val="2"/>
      <scheme val="minor"/>
    </font>
    <font>
      <i/>
      <sz val="10"/>
      <name val="Calibri"/>
      <family val="2"/>
      <scheme val="minor"/>
    </font>
    <font>
      <sz val="10"/>
      <color rgb="FFC00000"/>
      <name val="Calibri"/>
      <family val="2"/>
      <scheme val="minor"/>
    </font>
    <font>
      <b/>
      <i/>
      <sz val="10"/>
      <name val="Calibri"/>
      <family val="2"/>
      <scheme val="minor"/>
    </font>
    <font>
      <b/>
      <sz val="16"/>
      <color theme="1"/>
      <name val="Calibri"/>
      <family val="2"/>
      <scheme val="minor"/>
    </font>
    <font>
      <b/>
      <i/>
      <sz val="9"/>
      <color theme="1"/>
      <name val="Calibri"/>
      <family val="2"/>
      <scheme val="minor"/>
    </font>
    <font>
      <i/>
      <sz val="11"/>
      <color theme="1"/>
      <name val="Calibri"/>
      <family val="2"/>
      <scheme val="minor"/>
    </font>
    <font>
      <vertAlign val="subscript"/>
      <sz val="11"/>
      <color theme="1"/>
      <name val="Calibri"/>
      <family val="2"/>
      <scheme val="minor"/>
    </font>
    <font>
      <b/>
      <sz val="10"/>
      <color rgb="FFC00000"/>
      <name val="Calibri"/>
      <family val="2"/>
      <scheme val="minor"/>
    </font>
    <font>
      <sz val="11"/>
      <color rgb="FFFF0000"/>
      <name val="Calibri"/>
      <family val="2"/>
      <scheme val="minor"/>
    </font>
    <font>
      <b/>
      <vertAlign val="subscript"/>
      <sz val="10"/>
      <color theme="1"/>
      <name val="Calibri"/>
      <family val="2"/>
      <scheme val="minor"/>
    </font>
    <font>
      <vertAlign val="superscript"/>
      <sz val="10"/>
      <color theme="1"/>
      <name val="Calibri"/>
      <family val="2"/>
      <scheme val="minor"/>
    </font>
    <font>
      <b/>
      <vertAlign val="subscript"/>
      <sz val="11"/>
      <color theme="1"/>
      <name val="Calibri"/>
      <family val="2"/>
      <scheme val="minor"/>
    </font>
    <font>
      <b/>
      <sz val="14"/>
      <color theme="1"/>
      <name val="Calibri"/>
      <family val="2"/>
      <scheme val="minor"/>
    </font>
    <font>
      <b/>
      <sz val="22"/>
      <color theme="1"/>
      <name val="Calibri"/>
      <family val="2"/>
      <scheme val="minor"/>
    </font>
  </fonts>
  <fills count="13">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2" tint="-9.9978637043366805E-2"/>
        <bgColor indexed="64"/>
      </patternFill>
    </fill>
    <fill>
      <patternFill patternType="solid">
        <fgColor theme="0"/>
        <bgColor indexed="64"/>
      </patternFill>
    </fill>
    <fill>
      <patternFill patternType="solid">
        <fgColor theme="9" tint="0.39997558519241921"/>
        <bgColor indexed="64"/>
      </patternFill>
    </fill>
    <fill>
      <patternFill patternType="solid">
        <fgColor theme="4" tint="0.39997558519241921"/>
        <bgColor indexed="64"/>
      </patternFill>
    </fill>
  </fills>
  <borders count="9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tted">
        <color indexed="64"/>
      </bottom>
      <diagonal/>
    </border>
    <border>
      <left style="medium">
        <color indexed="64"/>
      </left>
      <right/>
      <top style="thin">
        <color indexed="64"/>
      </top>
      <bottom style="medium">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dotted">
        <color indexed="64"/>
      </bottom>
      <diagonal/>
    </border>
    <border>
      <left/>
      <right/>
      <top/>
      <bottom style="medium">
        <color indexed="64"/>
      </bottom>
      <diagonal/>
    </border>
    <border>
      <left style="dotted">
        <color indexed="64"/>
      </left>
      <right style="medium">
        <color indexed="64"/>
      </right>
      <top style="medium">
        <color indexed="64"/>
      </top>
      <bottom/>
      <diagonal/>
    </border>
    <border>
      <left style="dotted">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bottom style="dotted">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style="dotted">
        <color indexed="64"/>
      </right>
      <top style="thin">
        <color indexed="64"/>
      </top>
      <bottom style="thin">
        <color indexed="64"/>
      </bottom>
      <diagonal/>
    </border>
    <border>
      <left style="medium">
        <color indexed="64"/>
      </left>
      <right/>
      <top style="thin">
        <color indexed="64"/>
      </top>
      <bottom style="dotted">
        <color indexed="64"/>
      </bottom>
      <diagonal/>
    </border>
    <border>
      <left/>
      <right/>
      <top style="dashed">
        <color auto="1"/>
      </top>
      <bottom style="dashed">
        <color auto="1"/>
      </bottom>
      <diagonal/>
    </border>
    <border>
      <left/>
      <right style="dashed">
        <color auto="1"/>
      </right>
      <top/>
      <bottom/>
      <diagonal/>
    </border>
    <border>
      <left/>
      <right style="dashed">
        <color auto="1"/>
      </right>
      <top style="dashed">
        <color auto="1"/>
      </top>
      <bottom style="dashed">
        <color auto="1"/>
      </bottom>
      <diagonal/>
    </border>
    <border>
      <left/>
      <right/>
      <top/>
      <bottom style="dashed">
        <color auto="1"/>
      </bottom>
      <diagonal/>
    </border>
    <border>
      <left style="medium">
        <color indexed="64"/>
      </left>
      <right/>
      <top style="thin">
        <color indexed="64"/>
      </top>
      <bottom/>
      <diagonal/>
    </border>
    <border>
      <left style="medium">
        <color indexed="64"/>
      </left>
      <right/>
      <top style="dotted">
        <color indexed="64"/>
      </top>
      <bottom style="thin">
        <color indexed="64"/>
      </bottom>
      <diagonal/>
    </border>
    <border>
      <left/>
      <right style="thick">
        <color theme="4" tint="-0.24994659260841701"/>
      </right>
      <top/>
      <bottom/>
      <diagonal/>
    </border>
    <border>
      <left/>
      <right style="thick">
        <color theme="2" tint="-0.499984740745262"/>
      </right>
      <top/>
      <bottom/>
      <diagonal/>
    </border>
    <border>
      <left/>
      <right style="thick">
        <color theme="9"/>
      </right>
      <top/>
      <bottom/>
      <diagonal/>
    </border>
    <border>
      <left/>
      <right/>
      <top style="medium">
        <color indexed="64"/>
      </top>
      <bottom/>
      <diagonal/>
    </border>
    <border>
      <left style="medium">
        <color indexed="64"/>
      </left>
      <right/>
      <top/>
      <bottom/>
      <diagonal/>
    </border>
    <border>
      <left style="dotted">
        <color indexed="64"/>
      </left>
      <right style="medium">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medium">
        <color indexed="64"/>
      </right>
      <top/>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diagonal/>
    </border>
  </borders>
  <cellStyleXfs count="4">
    <xf numFmtId="0" fontId="0" fillId="0" borderId="0"/>
    <xf numFmtId="0" fontId="10" fillId="0" borderId="0"/>
    <xf numFmtId="9" fontId="14" fillId="0" borderId="0" applyFont="0" applyFill="0" applyBorder="0" applyAlignment="0" applyProtection="0"/>
    <xf numFmtId="164" fontId="14" fillId="0" borderId="0" applyFont="0" applyFill="0" applyBorder="0" applyAlignment="0" applyProtection="0"/>
  </cellStyleXfs>
  <cellXfs count="613">
    <xf numFmtId="0" fontId="0" fillId="0" borderId="0" xfId="0"/>
    <xf numFmtId="0" fontId="1" fillId="0" borderId="0" xfId="0" applyFont="1"/>
    <xf numFmtId="0" fontId="2" fillId="0" borderId="0" xfId="0" applyFont="1"/>
    <xf numFmtId="0" fontId="1" fillId="4" borderId="0" xfId="0" applyFont="1" applyFill="1"/>
    <xf numFmtId="0" fontId="3" fillId="4" borderId="0" xfId="0" applyFont="1" applyFill="1"/>
    <xf numFmtId="0" fontId="3" fillId="4" borderId="4" xfId="0" applyFont="1" applyFill="1" applyBorder="1"/>
    <xf numFmtId="0" fontId="3" fillId="4" borderId="5" xfId="0" applyFont="1" applyFill="1" applyBorder="1"/>
    <xf numFmtId="0" fontId="1" fillId="4" borderId="3" xfId="0" applyFont="1" applyFill="1" applyBorder="1" applyAlignment="1">
      <alignment vertical="center"/>
    </xf>
    <xf numFmtId="0" fontId="1" fillId="4" borderId="1" xfId="0" applyFont="1" applyFill="1" applyBorder="1"/>
    <xf numFmtId="0" fontId="1" fillId="4" borderId="15" xfId="0" applyFont="1" applyFill="1" applyBorder="1" applyAlignment="1">
      <alignment vertical="center"/>
    </xf>
    <xf numFmtId="0" fontId="3" fillId="4" borderId="4" xfId="0" applyFont="1" applyFill="1" applyBorder="1" applyAlignment="1">
      <alignment horizontal="center"/>
    </xf>
    <xf numFmtId="0" fontId="3" fillId="4" borderId="18" xfId="0" applyFont="1" applyFill="1" applyBorder="1" applyAlignment="1">
      <alignment horizontal="center"/>
    </xf>
    <xf numFmtId="0" fontId="1" fillId="4" borderId="2" xfId="0" applyFont="1" applyFill="1" applyBorder="1"/>
    <xf numFmtId="0" fontId="2" fillId="4" borderId="0" xfId="0" applyFont="1" applyFill="1"/>
    <xf numFmtId="0" fontId="4" fillId="4" borderId="0" xfId="0" applyFont="1" applyFill="1" applyAlignment="1">
      <alignment vertical="top" wrapText="1"/>
    </xf>
    <xf numFmtId="0" fontId="3" fillId="4" borderId="0" xfId="0" applyFont="1" applyFill="1" applyBorder="1"/>
    <xf numFmtId="0" fontId="1" fillId="4" borderId="0" xfId="0" applyFont="1" applyFill="1" applyBorder="1"/>
    <xf numFmtId="0" fontId="1" fillId="8" borderId="0" xfId="0" applyFont="1" applyFill="1"/>
    <xf numFmtId="0" fontId="1" fillId="4" borderId="0" xfId="0" applyFont="1" applyFill="1" applyBorder="1" applyAlignment="1">
      <alignment vertical="center"/>
    </xf>
    <xf numFmtId="0" fontId="1" fillId="4" borderId="1" xfId="0" applyFont="1" applyFill="1" applyBorder="1" applyAlignment="1">
      <alignment vertical="center" wrapText="1"/>
    </xf>
    <xf numFmtId="0" fontId="1" fillId="4" borderId="1" xfId="0" applyFont="1" applyFill="1" applyBorder="1" applyAlignment="1">
      <alignment vertical="center"/>
    </xf>
    <xf numFmtId="0" fontId="1" fillId="8" borderId="0" xfId="0" applyFont="1" applyFill="1" applyAlignment="1">
      <alignment vertical="center"/>
    </xf>
    <xf numFmtId="0" fontId="1" fillId="4" borderId="0" xfId="0" applyFont="1" applyFill="1" applyAlignment="1">
      <alignment vertical="center"/>
    </xf>
    <xf numFmtId="0" fontId="1" fillId="4" borderId="0" xfId="0" quotePrefix="1" applyFont="1" applyFill="1" applyBorder="1" applyAlignment="1">
      <alignment vertical="center"/>
    </xf>
    <xf numFmtId="1" fontId="1" fillId="4" borderId="0" xfId="0" applyNumberFormat="1" applyFont="1" applyFill="1" applyBorder="1" applyAlignment="1">
      <alignment horizontal="center" vertical="center"/>
    </xf>
    <xf numFmtId="0" fontId="3" fillId="4" borderId="0" xfId="0" applyFont="1" applyFill="1" applyBorder="1" applyAlignment="1">
      <alignment horizontal="center"/>
    </xf>
    <xf numFmtId="1" fontId="1" fillId="4" borderId="0" xfId="0" applyNumberFormat="1" applyFont="1" applyFill="1" applyBorder="1"/>
    <xf numFmtId="0" fontId="3" fillId="4" borderId="1" xfId="0" applyFont="1" applyFill="1" applyBorder="1" applyAlignment="1">
      <alignment horizontal="center" vertical="center"/>
    </xf>
    <xf numFmtId="9" fontId="1" fillId="4" borderId="1" xfId="0" applyNumberFormat="1" applyFont="1" applyFill="1" applyBorder="1" applyAlignment="1">
      <alignment horizontal="center" vertical="center"/>
    </xf>
    <xf numFmtId="0" fontId="4" fillId="4" borderId="0" xfId="0" applyFont="1" applyFill="1" applyAlignment="1">
      <alignment horizontal="left" vertical="top" wrapText="1"/>
    </xf>
    <xf numFmtId="0" fontId="6" fillId="4" borderId="0" xfId="0" applyFont="1" applyFill="1" applyAlignment="1">
      <alignment horizontal="left" vertical="top" wrapText="1"/>
    </xf>
    <xf numFmtId="0" fontId="4" fillId="4" borderId="0" xfId="0" applyFont="1" applyFill="1" applyAlignment="1">
      <alignment horizontal="center" vertical="top" wrapText="1"/>
    </xf>
    <xf numFmtId="0" fontId="4" fillId="8" borderId="0" xfId="0" applyFont="1" applyFill="1" applyAlignment="1">
      <alignment vertical="top" wrapText="1"/>
    </xf>
    <xf numFmtId="0" fontId="3" fillId="4" borderId="0" xfId="0" applyFont="1" applyFill="1" applyBorder="1" applyAlignment="1"/>
    <xf numFmtId="9" fontId="1" fillId="4" borderId="2" xfId="0" applyNumberFormat="1" applyFont="1" applyFill="1" applyBorder="1" applyAlignment="1">
      <alignment horizontal="center"/>
    </xf>
    <xf numFmtId="1" fontId="1" fillId="4" borderId="0" xfId="0" applyNumberFormat="1" applyFont="1" applyFill="1"/>
    <xf numFmtId="9" fontId="1" fillId="4" borderId="1" xfId="0" applyNumberFormat="1" applyFont="1" applyFill="1" applyBorder="1" applyAlignment="1">
      <alignment horizontal="center" vertical="center" wrapText="1"/>
    </xf>
    <xf numFmtId="9" fontId="1" fillId="4" borderId="0" xfId="0" applyNumberFormat="1" applyFont="1" applyFill="1" applyBorder="1" applyAlignment="1">
      <alignment horizontal="center" vertical="center"/>
    </xf>
    <xf numFmtId="0" fontId="1" fillId="5" borderId="0" xfId="0" applyFont="1" applyFill="1"/>
    <xf numFmtId="0" fontId="4" fillId="5" borderId="0" xfId="0" applyFont="1" applyFill="1" applyAlignment="1">
      <alignment vertical="top" wrapText="1"/>
    </xf>
    <xf numFmtId="0" fontId="4" fillId="5" borderId="0" xfId="0" applyFont="1" applyFill="1" applyAlignment="1">
      <alignment vertical="center" wrapText="1"/>
    </xf>
    <xf numFmtId="0" fontId="6" fillId="5" borderId="0" xfId="0" applyFont="1" applyFill="1" applyAlignment="1">
      <alignment vertical="top" wrapText="1"/>
    </xf>
    <xf numFmtId="0" fontId="5" fillId="5" borderId="0" xfId="0" applyFont="1" applyFill="1" applyAlignment="1">
      <alignment horizontal="right"/>
    </xf>
    <xf numFmtId="0" fontId="5" fillId="8" borderId="0" xfId="0" applyFont="1" applyFill="1" applyAlignment="1">
      <alignment horizontal="right"/>
    </xf>
    <xf numFmtId="9" fontId="1" fillId="8" borderId="0" xfId="0" applyNumberFormat="1" applyFont="1" applyFill="1" applyBorder="1"/>
    <xf numFmtId="0" fontId="4" fillId="5" borderId="0" xfId="0" applyFont="1" applyFill="1" applyAlignment="1">
      <alignment horizontal="left" vertical="top" wrapText="1"/>
    </xf>
    <xf numFmtId="0" fontId="1" fillId="5" borderId="0" xfId="0" applyFont="1" applyFill="1" applyAlignment="1">
      <alignment vertical="center" wrapText="1"/>
    </xf>
    <xf numFmtId="0" fontId="1" fillId="5" borderId="0" xfId="0" applyFont="1" applyFill="1" applyBorder="1" applyAlignment="1">
      <alignment vertical="center" wrapText="1"/>
    </xf>
    <xf numFmtId="0" fontId="3" fillId="4" borderId="3" xfId="0" applyFont="1" applyFill="1" applyBorder="1" applyAlignment="1">
      <alignment horizontal="center" vertical="center"/>
    </xf>
    <xf numFmtId="1" fontId="1" fillId="3" borderId="3" xfId="0" applyNumberFormat="1" applyFont="1" applyFill="1" applyBorder="1" applyAlignment="1">
      <alignment horizontal="center" vertical="center"/>
    </xf>
    <xf numFmtId="0" fontId="3" fillId="4" borderId="1" xfId="0" applyFont="1" applyFill="1" applyBorder="1" applyAlignment="1">
      <alignment horizontal="center" wrapText="1"/>
    </xf>
    <xf numFmtId="0" fontId="1" fillId="4" borderId="2" xfId="0" applyFont="1" applyFill="1" applyBorder="1" applyAlignment="1">
      <alignment vertical="center" wrapText="1"/>
    </xf>
    <xf numFmtId="0" fontId="1" fillId="4" borderId="2" xfId="0" applyFont="1" applyFill="1" applyBorder="1" applyAlignment="1">
      <alignment vertical="center"/>
    </xf>
    <xf numFmtId="0" fontId="3" fillId="4" borderId="2" xfId="0" applyFont="1" applyFill="1" applyBorder="1" applyAlignment="1">
      <alignment horizontal="center" vertical="center" wrapText="1"/>
    </xf>
    <xf numFmtId="9" fontId="1" fillId="5" borderId="10" xfId="0" applyNumberFormat="1" applyFont="1" applyFill="1" applyBorder="1" applyAlignment="1">
      <alignment horizontal="center" vertical="center"/>
    </xf>
    <xf numFmtId="0" fontId="4" fillId="4" borderId="0" xfId="0" applyFont="1" applyFill="1" applyAlignment="1">
      <alignment horizontal="left" vertical="top" wrapText="1"/>
    </xf>
    <xf numFmtId="0" fontId="8" fillId="6" borderId="0" xfId="0" applyFont="1" applyFill="1" applyAlignment="1">
      <alignment horizontal="left" vertical="center"/>
    </xf>
    <xf numFmtId="0" fontId="8" fillId="6" borderId="23" xfId="0" applyFont="1" applyFill="1" applyBorder="1" applyAlignment="1">
      <alignment horizontal="left" vertical="center"/>
    </xf>
    <xf numFmtId="0" fontId="3" fillId="4" borderId="0" xfId="0" applyFont="1" applyFill="1" applyBorder="1" applyAlignment="1">
      <alignment horizontal="left"/>
    </xf>
    <xf numFmtId="0" fontId="9" fillId="5" borderId="0" xfId="0" applyFont="1" applyFill="1" applyAlignment="1">
      <alignment vertical="top"/>
    </xf>
    <xf numFmtId="0" fontId="1" fillId="8" borderId="23" xfId="0" applyFont="1" applyFill="1" applyBorder="1"/>
    <xf numFmtId="0" fontId="1" fillId="4" borderId="23" xfId="0" applyFont="1" applyFill="1" applyBorder="1"/>
    <xf numFmtId="1" fontId="1" fillId="4" borderId="23" xfId="0" applyNumberFormat="1" applyFont="1" applyFill="1" applyBorder="1"/>
    <xf numFmtId="0" fontId="2" fillId="4" borderId="23" xfId="0" applyFont="1" applyFill="1" applyBorder="1"/>
    <xf numFmtId="0" fontId="1" fillId="6" borderId="23" xfId="0" applyFont="1" applyFill="1" applyBorder="1"/>
    <xf numFmtId="0" fontId="1" fillId="6" borderId="0" xfId="0" applyFont="1" applyFill="1"/>
    <xf numFmtId="0" fontId="1" fillId="7" borderId="0" xfId="0" applyFont="1" applyFill="1"/>
    <xf numFmtId="0" fontId="3" fillId="7" borderId="0" xfId="0" applyFont="1" applyFill="1" applyAlignment="1">
      <alignment vertical="top"/>
    </xf>
    <xf numFmtId="0" fontId="4" fillId="7" borderId="0" xfId="0" applyFont="1" applyFill="1" applyAlignment="1">
      <alignment vertical="top" wrapText="1"/>
    </xf>
    <xf numFmtId="0" fontId="7" fillId="7" borderId="0" xfId="0" applyFont="1" applyFill="1" applyAlignment="1">
      <alignment wrapText="1"/>
    </xf>
    <xf numFmtId="0" fontId="5" fillId="7" borderId="0" xfId="0" applyFont="1" applyFill="1" applyAlignment="1">
      <alignment horizontal="right"/>
    </xf>
    <xf numFmtId="0" fontId="1" fillId="4" borderId="12" xfId="0" applyFont="1" applyFill="1" applyBorder="1"/>
    <xf numFmtId="0" fontId="3" fillId="4" borderId="24" xfId="0" applyFont="1" applyFill="1" applyBorder="1" applyAlignment="1">
      <alignment vertical="center"/>
    </xf>
    <xf numFmtId="0" fontId="3" fillId="4" borderId="14" xfId="0" applyFont="1" applyFill="1" applyBorder="1" applyAlignment="1">
      <alignment horizontal="center" vertical="center" wrapText="1"/>
    </xf>
    <xf numFmtId="0" fontId="1" fillId="4" borderId="25" xfId="0" applyFont="1" applyFill="1" applyBorder="1" applyAlignment="1">
      <alignment horizontal="left" vertical="center"/>
    </xf>
    <xf numFmtId="0" fontId="1" fillId="8" borderId="0" xfId="0" applyFont="1" applyFill="1" applyBorder="1"/>
    <xf numFmtId="0" fontId="7" fillId="7" borderId="0" xfId="0" applyFont="1" applyFill="1" applyAlignment="1">
      <alignment horizontal="left" wrapText="1"/>
    </xf>
    <xf numFmtId="0" fontId="1" fillId="5" borderId="0" xfId="0" applyFont="1" applyFill="1" applyAlignment="1">
      <alignment horizontal="right"/>
    </xf>
    <xf numFmtId="0" fontId="2" fillId="8" borderId="0" xfId="0" applyFont="1" applyFill="1"/>
    <xf numFmtId="1" fontId="1" fillId="5" borderId="5" xfId="0" applyNumberFormat="1" applyFont="1" applyFill="1" applyBorder="1" applyAlignment="1">
      <alignment horizontal="center"/>
    </xf>
    <xf numFmtId="1" fontId="1" fillId="5" borderId="1" xfId="0" applyNumberFormat="1" applyFont="1" applyFill="1" applyBorder="1" applyAlignment="1">
      <alignment horizontal="center"/>
    </xf>
    <xf numFmtId="1" fontId="1" fillId="3" borderId="1" xfId="0" applyNumberFormat="1" applyFont="1" applyFill="1" applyBorder="1" applyAlignment="1">
      <alignment horizontal="right" vertical="center"/>
    </xf>
    <xf numFmtId="0" fontId="1" fillId="5" borderId="0" xfId="0" applyFont="1" applyFill="1" applyAlignment="1">
      <alignment vertical="center"/>
    </xf>
    <xf numFmtId="0" fontId="1" fillId="4" borderId="6" xfId="0" applyFont="1" applyFill="1" applyBorder="1" applyAlignment="1">
      <alignment vertical="center"/>
    </xf>
    <xf numFmtId="0" fontId="1" fillId="4" borderId="6" xfId="0" applyFont="1" applyFill="1" applyBorder="1" applyAlignment="1">
      <alignment vertical="center" wrapText="1"/>
    </xf>
    <xf numFmtId="0" fontId="1" fillId="4" borderId="45" xfId="0" applyFont="1" applyFill="1" applyBorder="1" applyAlignment="1">
      <alignment vertical="center"/>
    </xf>
    <xf numFmtId="0" fontId="1" fillId="4" borderId="46" xfId="0" applyFont="1" applyFill="1" applyBorder="1" applyAlignment="1">
      <alignment vertical="center" wrapText="1"/>
    </xf>
    <xf numFmtId="0" fontId="1" fillId="4" borderId="48" xfId="0" applyFont="1" applyFill="1" applyBorder="1" applyAlignment="1">
      <alignment vertical="center"/>
    </xf>
    <xf numFmtId="0" fontId="1" fillId="4" borderId="49" xfId="0" applyFont="1" applyFill="1" applyBorder="1" applyAlignment="1">
      <alignment vertical="center"/>
    </xf>
    <xf numFmtId="0" fontId="1" fillId="4" borderId="45" xfId="0" applyFont="1" applyFill="1" applyBorder="1" applyAlignment="1">
      <alignment vertical="center" wrapText="1"/>
    </xf>
    <xf numFmtId="0" fontId="1" fillId="4" borderId="48" xfId="0" applyFont="1" applyFill="1" applyBorder="1" applyAlignment="1">
      <alignment vertical="center" wrapText="1"/>
    </xf>
    <xf numFmtId="0" fontId="1" fillId="3" borderId="1"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1" xfId="0" applyFont="1" applyFill="1" applyBorder="1" applyAlignment="1">
      <alignment horizontal="center"/>
    </xf>
    <xf numFmtId="1" fontId="1" fillId="4" borderId="1" xfId="0" applyNumberFormat="1" applyFont="1" applyFill="1" applyBorder="1" applyAlignment="1">
      <alignment horizontal="center"/>
    </xf>
    <xf numFmtId="0" fontId="4" fillId="4" borderId="0" xfId="0" applyFont="1" applyFill="1" applyAlignment="1">
      <alignment horizontal="left" vertical="top" wrapText="1"/>
    </xf>
    <xf numFmtId="0" fontId="1" fillId="5" borderId="1" xfId="0" applyFont="1" applyFill="1" applyBorder="1" applyAlignment="1">
      <alignment horizontal="center"/>
    </xf>
    <xf numFmtId="1" fontId="1" fillId="3" borderId="1" xfId="0" applyNumberFormat="1" applyFont="1" applyFill="1" applyBorder="1" applyAlignment="1">
      <alignment horizontal="center"/>
    </xf>
    <xf numFmtId="0" fontId="1" fillId="4" borderId="0" xfId="0" applyFont="1" applyFill="1" applyAlignment="1">
      <alignment horizontal="center"/>
    </xf>
    <xf numFmtId="0" fontId="1" fillId="4" borderId="35" xfId="0" applyFont="1" applyFill="1" applyBorder="1" applyAlignment="1">
      <alignment horizontal="center" vertical="center"/>
    </xf>
    <xf numFmtId="0" fontId="1" fillId="4" borderId="36" xfId="0" applyFont="1" applyFill="1" applyBorder="1" applyAlignment="1">
      <alignment horizontal="center"/>
    </xf>
    <xf numFmtId="0" fontId="1" fillId="4" borderId="37" xfId="0" applyFont="1" applyFill="1" applyBorder="1" applyAlignment="1">
      <alignment horizontal="center"/>
    </xf>
    <xf numFmtId="0" fontId="1" fillId="4" borderId="38" xfId="0" applyFont="1" applyFill="1" applyBorder="1" applyAlignment="1">
      <alignment horizontal="center" vertical="center"/>
    </xf>
    <xf numFmtId="0" fontId="1" fillId="4" borderId="39" xfId="0" applyFont="1" applyFill="1" applyBorder="1" applyAlignment="1">
      <alignment horizontal="center"/>
    </xf>
    <xf numFmtId="0" fontId="1" fillId="4" borderId="40" xfId="0" applyFont="1" applyFill="1" applyBorder="1" applyAlignment="1">
      <alignment horizontal="center"/>
    </xf>
    <xf numFmtId="0" fontId="1" fillId="5" borderId="2" xfId="0" applyFont="1" applyFill="1" applyBorder="1" applyAlignment="1">
      <alignment horizontal="center" vertical="center"/>
    </xf>
    <xf numFmtId="0" fontId="1" fillId="5" borderId="1" xfId="0" applyFont="1" applyFill="1" applyBorder="1" applyAlignment="1">
      <alignment horizontal="center" vertical="center"/>
    </xf>
    <xf numFmtId="0" fontId="1" fillId="5" borderId="8" xfId="0" applyFont="1" applyFill="1" applyBorder="1" applyAlignment="1">
      <alignment horizontal="center" vertical="center"/>
    </xf>
    <xf numFmtId="0" fontId="1" fillId="5" borderId="50" xfId="0" applyFont="1" applyFill="1" applyBorder="1" applyAlignment="1">
      <alignment horizontal="center" vertical="center"/>
    </xf>
    <xf numFmtId="1" fontId="1" fillId="5" borderId="52" xfId="0" applyNumberFormat="1" applyFont="1" applyFill="1" applyBorder="1" applyAlignment="1">
      <alignment horizontal="center" vertical="center"/>
    </xf>
    <xf numFmtId="1" fontId="1" fillId="5" borderId="1" xfId="0" applyNumberFormat="1" applyFont="1" applyFill="1" applyBorder="1" applyAlignment="1">
      <alignment horizontal="center" vertical="center"/>
    </xf>
    <xf numFmtId="0" fontId="3" fillId="4" borderId="5" xfId="0" applyFont="1" applyFill="1" applyBorder="1" applyAlignment="1">
      <alignment horizontal="center"/>
    </xf>
    <xf numFmtId="165" fontId="1" fillId="3" borderId="1" xfId="0" applyNumberFormat="1" applyFont="1" applyFill="1" applyBorder="1" applyAlignment="1">
      <alignment horizontal="center"/>
    </xf>
    <xf numFmtId="165" fontId="1" fillId="5" borderId="1" xfId="0" applyNumberFormat="1" applyFont="1" applyFill="1" applyBorder="1" applyAlignment="1">
      <alignment horizontal="center"/>
    </xf>
    <xf numFmtId="1" fontId="1" fillId="5" borderId="2" xfId="0" applyNumberFormat="1" applyFont="1" applyFill="1" applyBorder="1" applyAlignment="1">
      <alignment horizontal="center" vertical="center"/>
    </xf>
    <xf numFmtId="1" fontId="1" fillId="5" borderId="8" xfId="0" applyNumberFormat="1" applyFont="1" applyFill="1" applyBorder="1" applyAlignment="1">
      <alignment horizontal="center" vertical="center"/>
    </xf>
    <xf numFmtId="0" fontId="3" fillId="4" borderId="1" xfId="0" applyFont="1" applyFill="1" applyBorder="1" applyAlignment="1">
      <alignment horizontal="center" vertical="center" wrapText="1"/>
    </xf>
    <xf numFmtId="3" fontId="1" fillId="3" borderId="1" xfId="0" applyNumberFormat="1" applyFont="1" applyFill="1" applyBorder="1" applyAlignment="1">
      <alignment horizontal="center"/>
    </xf>
    <xf numFmtId="1" fontId="1" fillId="4" borderId="41" xfId="0" applyNumberFormat="1" applyFont="1" applyFill="1" applyBorder="1" applyAlignment="1">
      <alignment horizontal="center" vertical="center"/>
    </xf>
    <xf numFmtId="1" fontId="1" fillId="3" borderId="1" xfId="0" applyNumberFormat="1" applyFont="1" applyFill="1" applyBorder="1" applyAlignment="1">
      <alignment horizontal="center" vertical="center" wrapText="1"/>
    </xf>
    <xf numFmtId="0" fontId="1" fillId="5" borderId="0" xfId="0" applyFont="1" applyFill="1" applyAlignment="1">
      <alignment horizontal="right" vertical="center"/>
    </xf>
    <xf numFmtId="1" fontId="1" fillId="0" borderId="0" xfId="0" applyNumberFormat="1" applyFont="1"/>
    <xf numFmtId="0" fontId="3" fillId="4" borderId="1" xfId="0" applyFont="1" applyFill="1" applyBorder="1" applyAlignment="1">
      <alignment vertical="center"/>
    </xf>
    <xf numFmtId="1" fontId="1" fillId="9" borderId="1" xfId="0" applyNumberFormat="1" applyFont="1" applyFill="1" applyBorder="1" applyAlignment="1">
      <alignment horizontal="center"/>
    </xf>
    <xf numFmtId="0" fontId="4" fillId="5" borderId="0" xfId="0" applyFont="1" applyFill="1" applyBorder="1" applyAlignment="1">
      <alignment horizontal="left" vertical="top" wrapText="1"/>
    </xf>
    <xf numFmtId="0" fontId="11" fillId="5" borderId="0" xfId="0" applyFont="1" applyFill="1" applyBorder="1" applyAlignment="1">
      <alignment horizontal="left" vertical="top"/>
    </xf>
    <xf numFmtId="0" fontId="4" fillId="4" borderId="0" xfId="0" applyFont="1" applyFill="1" applyAlignment="1">
      <alignment horizontal="left" vertical="top" wrapText="1"/>
    </xf>
    <xf numFmtId="0" fontId="6" fillId="5" borderId="0" xfId="0" applyFont="1" applyFill="1" applyAlignment="1">
      <alignment horizontal="left" vertical="top" wrapText="1"/>
    </xf>
    <xf numFmtId="0" fontId="4" fillId="5" borderId="0" xfId="0" applyFont="1" applyFill="1" applyAlignment="1">
      <alignment horizontal="left" vertical="top" wrapText="1"/>
    </xf>
    <xf numFmtId="0" fontId="13" fillId="5" borderId="0" xfId="0" applyFont="1" applyFill="1" applyBorder="1" applyAlignment="1">
      <alignment horizontal="left" vertical="top" wrapText="1"/>
    </xf>
    <xf numFmtId="0" fontId="11" fillId="5" borderId="0" xfId="0" applyFont="1" applyFill="1" applyBorder="1" applyAlignment="1">
      <alignment horizontal="left" vertical="top" wrapText="1"/>
    </xf>
    <xf numFmtId="0" fontId="13" fillId="5" borderId="0" xfId="0" applyFont="1" applyFill="1" applyBorder="1" applyAlignment="1">
      <alignment horizontal="left" vertical="center" wrapText="1"/>
    </xf>
    <xf numFmtId="0" fontId="3" fillId="4" borderId="1" xfId="0" applyFont="1" applyFill="1" applyBorder="1" applyAlignment="1">
      <alignment horizontal="center"/>
    </xf>
    <xf numFmtId="0" fontId="8" fillId="6" borderId="23" xfId="0" applyFont="1" applyFill="1" applyBorder="1" applyAlignment="1">
      <alignment horizontal="left" vertical="center"/>
    </xf>
    <xf numFmtId="0" fontId="3" fillId="4" borderId="1" xfId="0" applyFont="1" applyFill="1" applyBorder="1" applyAlignment="1">
      <alignment horizontal="left" vertical="center"/>
    </xf>
    <xf numFmtId="0" fontId="11" fillId="4" borderId="0" xfId="0" applyFont="1" applyFill="1" applyAlignment="1">
      <alignment vertical="top" wrapText="1"/>
    </xf>
    <xf numFmtId="0" fontId="0" fillId="10" borderId="0" xfId="0" applyFill="1"/>
    <xf numFmtId="0" fontId="3" fillId="4" borderId="1" xfId="0" applyFont="1" applyFill="1" applyBorder="1"/>
    <xf numFmtId="0" fontId="1" fillId="4" borderId="4" xfId="0" applyFont="1" applyFill="1" applyBorder="1"/>
    <xf numFmtId="9" fontId="1" fillId="5" borderId="1" xfId="2" applyFont="1" applyFill="1" applyBorder="1" applyAlignment="1">
      <alignment horizontal="center"/>
    </xf>
    <xf numFmtId="0" fontId="3" fillId="4" borderId="21" xfId="0" applyFont="1" applyFill="1" applyBorder="1"/>
    <xf numFmtId="0" fontId="3" fillId="4" borderId="13" xfId="0" applyFont="1" applyFill="1" applyBorder="1"/>
    <xf numFmtId="0" fontId="3" fillId="4" borderId="14" xfId="0" applyFont="1" applyFill="1" applyBorder="1" applyAlignment="1">
      <alignment horizontal="center"/>
    </xf>
    <xf numFmtId="0" fontId="11" fillId="5" borderId="0" xfId="0" applyFont="1" applyFill="1" applyBorder="1" applyAlignment="1">
      <alignment horizontal="left" vertical="top" wrapText="1"/>
    </xf>
    <xf numFmtId="0" fontId="3" fillId="4" borderId="1" xfId="0" applyFont="1" applyFill="1" applyBorder="1" applyAlignment="1">
      <alignment horizontal="center"/>
    </xf>
    <xf numFmtId="0" fontId="8" fillId="6" borderId="23" xfId="0" applyFont="1" applyFill="1" applyBorder="1" applyAlignment="1">
      <alignment horizontal="left" vertical="center"/>
    </xf>
    <xf numFmtId="0" fontId="1" fillId="4" borderId="1" xfId="0" applyFont="1" applyFill="1" applyBorder="1" applyAlignment="1">
      <alignment horizontal="left"/>
    </xf>
    <xf numFmtId="0" fontId="3" fillId="4" borderId="3"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3" xfId="0" applyFont="1" applyFill="1" applyBorder="1" applyAlignment="1">
      <alignment horizontal="center"/>
    </xf>
    <xf numFmtId="0" fontId="1" fillId="4" borderId="3" xfId="0" applyFont="1" applyFill="1" applyBorder="1"/>
    <xf numFmtId="0" fontId="1" fillId="4" borderId="6" xfId="0" applyFont="1" applyFill="1" applyBorder="1"/>
    <xf numFmtId="0" fontId="3" fillId="4" borderId="2" xfId="0" applyFont="1" applyFill="1" applyBorder="1"/>
    <xf numFmtId="0" fontId="1" fillId="4" borderId="0" xfId="0" applyFont="1" applyFill="1" applyBorder="1" applyAlignment="1"/>
    <xf numFmtId="0" fontId="1" fillId="4" borderId="44" xfId="0" applyFont="1" applyFill="1" applyBorder="1" applyAlignment="1"/>
    <xf numFmtId="0" fontId="1" fillId="4" borderId="62" xfId="0" applyFont="1" applyFill="1" applyBorder="1" applyAlignment="1"/>
    <xf numFmtId="0" fontId="1" fillId="4" borderId="63" xfId="0" applyFont="1" applyFill="1" applyBorder="1" applyAlignment="1"/>
    <xf numFmtId="0" fontId="1" fillId="4" borderId="67" xfId="0" applyFont="1" applyFill="1" applyBorder="1" applyAlignment="1"/>
    <xf numFmtId="0" fontId="1" fillId="4" borderId="15" xfId="0" applyFont="1" applyFill="1" applyBorder="1" applyAlignment="1"/>
    <xf numFmtId="0" fontId="1" fillId="4" borderId="3" xfId="0" applyFont="1" applyFill="1" applyBorder="1" applyAlignment="1"/>
    <xf numFmtId="0" fontId="1" fillId="0" borderId="0" xfId="0" applyFont="1" applyFill="1"/>
    <xf numFmtId="0" fontId="1" fillId="4" borderId="5" xfId="0" applyFont="1" applyFill="1" applyBorder="1"/>
    <xf numFmtId="0" fontId="1" fillId="5" borderId="5" xfId="0" applyFont="1" applyFill="1" applyBorder="1" applyAlignment="1">
      <alignment horizontal="center"/>
    </xf>
    <xf numFmtId="0" fontId="1" fillId="4" borderId="8" xfId="0" applyFont="1" applyFill="1" applyBorder="1"/>
    <xf numFmtId="0" fontId="1" fillId="5" borderId="8" xfId="0" applyFont="1" applyFill="1" applyBorder="1" applyAlignment="1">
      <alignment horizontal="center"/>
    </xf>
    <xf numFmtId="0" fontId="2" fillId="0" borderId="0" xfId="0" applyFont="1" applyFill="1"/>
    <xf numFmtId="9" fontId="1" fillId="4" borderId="0" xfId="0" applyNumberFormat="1" applyFont="1" applyFill="1" applyAlignment="1">
      <alignment horizontal="right"/>
    </xf>
    <xf numFmtId="0" fontId="1" fillId="4" borderId="0" xfId="0" applyFont="1" applyFill="1" applyBorder="1" applyAlignment="1">
      <alignment horizontal="left" vertical="top" wrapText="1"/>
    </xf>
    <xf numFmtId="0" fontId="3" fillId="4" borderId="3" xfId="0" applyFont="1" applyFill="1" applyBorder="1" applyAlignment="1">
      <alignment horizontal="center" wrapText="1"/>
    </xf>
    <xf numFmtId="9" fontId="1" fillId="5" borderId="3" xfId="2" applyFont="1" applyFill="1" applyBorder="1" applyAlignment="1">
      <alignment horizontal="center"/>
    </xf>
    <xf numFmtId="0" fontId="3" fillId="4" borderId="68" xfId="0" applyFont="1" applyFill="1" applyBorder="1" applyAlignment="1">
      <alignment horizontal="center" vertical="center"/>
    </xf>
    <xf numFmtId="9" fontId="1" fillId="5" borderId="68" xfId="2" applyFont="1" applyFill="1" applyBorder="1" applyAlignment="1">
      <alignment horizontal="center"/>
    </xf>
    <xf numFmtId="0" fontId="3" fillId="4" borderId="1" xfId="0" applyFont="1" applyFill="1" applyBorder="1" applyAlignment="1">
      <alignment vertical="center" wrapText="1"/>
    </xf>
    <xf numFmtId="0" fontId="3" fillId="4" borderId="0" xfId="0" applyFont="1" applyFill="1" applyAlignment="1">
      <alignment horizontal="left" vertical="top"/>
    </xf>
    <xf numFmtId="3" fontId="1" fillId="5" borderId="2" xfId="3" applyNumberFormat="1" applyFont="1" applyFill="1" applyBorder="1" applyAlignment="1">
      <alignment horizontal="center" vertical="center"/>
    </xf>
    <xf numFmtId="166" fontId="15" fillId="5" borderId="2" xfId="0" applyNumberFormat="1" applyFont="1" applyFill="1" applyBorder="1" applyAlignment="1">
      <alignment horizontal="center" vertical="center"/>
    </xf>
    <xf numFmtId="0" fontId="3" fillId="4" borderId="7" xfId="0" applyFont="1" applyFill="1" applyBorder="1" applyAlignment="1">
      <alignment horizontal="center" vertical="center"/>
    </xf>
    <xf numFmtId="0" fontId="3" fillId="4" borderId="0" xfId="0" applyFont="1" applyFill="1" applyAlignment="1">
      <alignment vertical="center"/>
    </xf>
    <xf numFmtId="0" fontId="4" fillId="4" borderId="56" xfId="0" applyFont="1" applyFill="1" applyBorder="1" applyAlignment="1">
      <alignment vertical="center"/>
    </xf>
    <xf numFmtId="0" fontId="1" fillId="4" borderId="43" xfId="0" applyFont="1" applyFill="1" applyBorder="1" applyAlignment="1">
      <alignment vertical="center"/>
    </xf>
    <xf numFmtId="0" fontId="1" fillId="4" borderId="56" xfId="0" applyFont="1" applyFill="1" applyBorder="1" applyAlignment="1">
      <alignment vertical="center"/>
    </xf>
    <xf numFmtId="0" fontId="1" fillId="4" borderId="44" xfId="0" applyFont="1" applyFill="1" applyBorder="1"/>
    <xf numFmtId="0" fontId="1" fillId="4" borderId="10" xfId="0" applyFont="1" applyFill="1" applyBorder="1"/>
    <xf numFmtId="3" fontId="1" fillId="5" borderId="7" xfId="3" applyNumberFormat="1" applyFont="1" applyFill="1" applyBorder="1" applyAlignment="1">
      <alignment horizontal="center" vertical="center"/>
    </xf>
    <xf numFmtId="165" fontId="1" fillId="5" borderId="3" xfId="0" applyNumberFormat="1" applyFont="1" applyFill="1" applyBorder="1" applyAlignment="1">
      <alignment horizontal="center" vertical="center"/>
    </xf>
    <xf numFmtId="3" fontId="1" fillId="5" borderId="1" xfId="0" applyNumberFormat="1" applyFont="1" applyFill="1" applyBorder="1" applyAlignment="1">
      <alignment horizontal="center"/>
    </xf>
    <xf numFmtId="3" fontId="1" fillId="5" borderId="4" xfId="0" applyNumberFormat="1" applyFont="1" applyFill="1" applyBorder="1" applyAlignment="1">
      <alignment horizontal="center"/>
    </xf>
    <xf numFmtId="0" fontId="1" fillId="4" borderId="17" xfId="0" applyFont="1" applyFill="1" applyBorder="1" applyAlignment="1">
      <alignment vertical="center"/>
    </xf>
    <xf numFmtId="0" fontId="3" fillId="4" borderId="44" xfId="0" applyFont="1" applyFill="1" applyBorder="1"/>
    <xf numFmtId="0" fontId="3" fillId="4" borderId="44" xfId="0" applyFont="1" applyFill="1" applyBorder="1" applyAlignment="1">
      <alignment horizontal="left" vertical="center"/>
    </xf>
    <xf numFmtId="0" fontId="3" fillId="4" borderId="7" xfId="0" applyFont="1" applyFill="1" applyBorder="1" applyAlignment="1">
      <alignment horizontal="left" vertical="center"/>
    </xf>
    <xf numFmtId="3" fontId="1" fillId="6" borderId="1" xfId="0" applyNumberFormat="1" applyFont="1" applyFill="1" applyBorder="1" applyAlignment="1">
      <alignment horizontal="center"/>
    </xf>
    <xf numFmtId="1" fontId="1" fillId="5" borderId="8" xfId="0" applyNumberFormat="1" applyFont="1" applyFill="1" applyBorder="1" applyAlignment="1">
      <alignment horizontal="center"/>
    </xf>
    <xf numFmtId="0" fontId="5" fillId="4" borderId="1" xfId="0" applyFont="1" applyFill="1" applyBorder="1" applyAlignment="1">
      <alignment horizontal="center" vertical="center" wrapText="1"/>
    </xf>
    <xf numFmtId="3" fontId="1" fillId="3" borderId="2" xfId="0" applyNumberFormat="1" applyFont="1" applyFill="1" applyBorder="1" applyAlignment="1">
      <alignment horizontal="center"/>
    </xf>
    <xf numFmtId="0" fontId="3" fillId="4" borderId="0" xfId="0" applyFont="1" applyFill="1" applyAlignment="1">
      <alignment horizontal="right"/>
    </xf>
    <xf numFmtId="0" fontId="3" fillId="4" borderId="0" xfId="0" applyFont="1" applyFill="1" applyBorder="1" applyAlignment="1">
      <alignment horizontal="left" vertical="center"/>
    </xf>
    <xf numFmtId="0" fontId="3" fillId="4" borderId="23" xfId="0" applyFont="1" applyFill="1" applyBorder="1" applyAlignment="1">
      <alignment horizontal="left" vertical="center"/>
    </xf>
    <xf numFmtId="0" fontId="4" fillId="4" borderId="0" xfId="0" applyFont="1" applyFill="1" applyBorder="1" applyAlignment="1">
      <alignment horizontal="center" vertical="top" wrapText="1"/>
    </xf>
    <xf numFmtId="0" fontId="4" fillId="4" borderId="9" xfId="0" applyFont="1" applyFill="1" applyBorder="1" applyAlignment="1">
      <alignment horizontal="center" vertical="top" wrapText="1"/>
    </xf>
    <xf numFmtId="0" fontId="3" fillId="4" borderId="2" xfId="0" applyFont="1" applyFill="1" applyBorder="1" applyAlignment="1">
      <alignment vertical="center"/>
    </xf>
    <xf numFmtId="0" fontId="4" fillId="4" borderId="6" xfId="0" applyFont="1" applyFill="1" applyBorder="1" applyAlignment="1">
      <alignment horizontal="center" vertical="top" wrapText="1"/>
    </xf>
    <xf numFmtId="0" fontId="4" fillId="4" borderId="3" xfId="0" applyFont="1" applyFill="1" applyBorder="1" applyAlignment="1">
      <alignment horizontal="center" vertical="top" wrapText="1"/>
    </xf>
    <xf numFmtId="0" fontId="4" fillId="4" borderId="2" xfId="0" applyFont="1" applyFill="1" applyBorder="1" applyAlignment="1">
      <alignment vertical="center"/>
    </xf>
    <xf numFmtId="9" fontId="15" fillId="5" borderId="3" xfId="2" applyFont="1" applyFill="1" applyBorder="1" applyAlignment="1">
      <alignment horizontal="center" vertical="center"/>
    </xf>
    <xf numFmtId="0" fontId="19" fillId="4" borderId="43" xfId="0" applyFont="1" applyFill="1" applyBorder="1" applyAlignment="1">
      <alignment horizontal="left" vertical="center"/>
    </xf>
    <xf numFmtId="0" fontId="1" fillId="4" borderId="67" xfId="0" applyFont="1" applyFill="1" applyBorder="1" applyAlignment="1">
      <alignment vertical="center"/>
    </xf>
    <xf numFmtId="0" fontId="1" fillId="4" borderId="44" xfId="0" applyFont="1" applyFill="1" applyBorder="1" applyAlignment="1">
      <alignment vertical="center"/>
    </xf>
    <xf numFmtId="0" fontId="15" fillId="4" borderId="69" xfId="0" applyFont="1" applyFill="1" applyBorder="1" applyAlignment="1">
      <alignment vertical="center"/>
    </xf>
    <xf numFmtId="0" fontId="1" fillId="4" borderId="46" xfId="0" applyFont="1" applyFill="1" applyBorder="1" applyAlignment="1">
      <alignment vertical="center"/>
    </xf>
    <xf numFmtId="0" fontId="1" fillId="5" borderId="8" xfId="0" quotePrefix="1" applyFont="1" applyFill="1" applyBorder="1" applyAlignment="1">
      <alignment horizontal="center"/>
    </xf>
    <xf numFmtId="0" fontId="15" fillId="4" borderId="67" xfId="0" applyFont="1" applyFill="1" applyBorder="1" applyAlignment="1">
      <alignment vertical="center"/>
    </xf>
    <xf numFmtId="0" fontId="15" fillId="4" borderId="67" xfId="0" applyFont="1" applyFill="1" applyBorder="1" applyAlignment="1">
      <alignment vertical="center" wrapText="1"/>
    </xf>
    <xf numFmtId="0" fontId="15" fillId="4" borderId="69" xfId="0" applyFont="1" applyFill="1" applyBorder="1" applyAlignment="1">
      <alignment vertical="center" wrapText="1"/>
    </xf>
    <xf numFmtId="9" fontId="1" fillId="0" borderId="0" xfId="2" applyFont="1"/>
    <xf numFmtId="0" fontId="2" fillId="5" borderId="0" xfId="0" applyFont="1" applyFill="1"/>
    <xf numFmtId="0" fontId="15" fillId="5" borderId="0" xfId="0" applyFont="1" applyFill="1" applyBorder="1"/>
    <xf numFmtId="0" fontId="19" fillId="5" borderId="0" xfId="0" applyFont="1" applyFill="1" applyBorder="1" applyAlignment="1">
      <alignment vertical="top" wrapText="1"/>
    </xf>
    <xf numFmtId="0" fontId="19" fillId="5" borderId="0" xfId="0" applyFont="1" applyFill="1" applyBorder="1" applyAlignment="1">
      <alignment horizontal="left" vertical="top"/>
    </xf>
    <xf numFmtId="0" fontId="19" fillId="5" borderId="0" xfId="0" applyFont="1" applyFill="1" applyBorder="1" applyAlignment="1">
      <alignment horizontal="left" vertical="top" wrapText="1"/>
    </xf>
    <xf numFmtId="0" fontId="6" fillId="4" borderId="0" xfId="0" applyFont="1" applyFill="1" applyAlignment="1">
      <alignment horizontal="left" vertical="top"/>
    </xf>
    <xf numFmtId="0" fontId="1" fillId="4" borderId="0" xfId="0" applyFont="1" applyFill="1" applyBorder="1" applyAlignment="1">
      <alignment horizontal="center" vertical="center"/>
    </xf>
    <xf numFmtId="2" fontId="1" fillId="0" borderId="0" xfId="0" applyNumberFormat="1" applyFont="1"/>
    <xf numFmtId="0" fontId="3" fillId="4" borderId="57" xfId="0" applyFont="1" applyFill="1" applyBorder="1" applyAlignment="1">
      <alignment vertical="center"/>
    </xf>
    <xf numFmtId="0" fontId="1" fillId="4" borderId="58" xfId="0" applyFont="1" applyFill="1" applyBorder="1" applyAlignment="1">
      <alignment vertical="center"/>
    </xf>
    <xf numFmtId="0" fontId="3" fillId="4" borderId="59" xfId="0" applyFont="1" applyFill="1" applyBorder="1" applyAlignment="1">
      <alignment vertical="center"/>
    </xf>
    <xf numFmtId="0" fontId="3" fillId="4" borderId="60" xfId="0" applyFont="1" applyFill="1" applyBorder="1" applyAlignment="1">
      <alignment vertical="center"/>
    </xf>
    <xf numFmtId="0" fontId="15" fillId="4" borderId="1" xfId="0" applyFont="1" applyFill="1" applyBorder="1"/>
    <xf numFmtId="0" fontId="20" fillId="0" borderId="0" xfId="0" applyFont="1" applyFill="1"/>
    <xf numFmtId="9" fontId="15" fillId="5" borderId="68" xfId="2" applyFont="1" applyFill="1" applyBorder="1" applyAlignment="1">
      <alignment horizontal="center"/>
    </xf>
    <xf numFmtId="9" fontId="15" fillId="5" borderId="3" xfId="2" applyFont="1" applyFill="1" applyBorder="1" applyAlignment="1">
      <alignment horizontal="center"/>
    </xf>
    <xf numFmtId="0" fontId="3" fillId="4" borderId="1" xfId="0" applyFont="1" applyFill="1" applyBorder="1" applyAlignment="1">
      <alignment horizontal="center" vertical="top" wrapText="1"/>
    </xf>
    <xf numFmtId="0" fontId="1" fillId="4" borderId="43" xfId="0" applyFont="1" applyFill="1" applyBorder="1" applyAlignment="1">
      <alignment horizontal="left"/>
    </xf>
    <xf numFmtId="0" fontId="3" fillId="4" borderId="2" xfId="0" applyFont="1" applyFill="1" applyBorder="1" applyAlignment="1">
      <alignment horizontal="center"/>
    </xf>
    <xf numFmtId="0" fontId="3" fillId="4" borderId="2" xfId="0" applyFont="1" applyFill="1" applyBorder="1" applyAlignment="1">
      <alignment horizontal="left"/>
    </xf>
    <xf numFmtId="0" fontId="1" fillId="4" borderId="2" xfId="0" applyFont="1" applyFill="1" applyBorder="1" applyAlignment="1">
      <alignment horizontal="left"/>
    </xf>
    <xf numFmtId="0" fontId="1" fillId="5" borderId="2" xfId="0" applyFont="1" applyFill="1" applyBorder="1" applyAlignment="1">
      <alignment horizontal="center"/>
    </xf>
    <xf numFmtId="0" fontId="1" fillId="4" borderId="42" xfId="0" applyFont="1" applyFill="1" applyBorder="1" applyAlignment="1">
      <alignment horizontal="left"/>
    </xf>
    <xf numFmtId="0" fontId="1" fillId="4" borderId="41" xfId="0" applyFont="1" applyFill="1" applyBorder="1"/>
    <xf numFmtId="0" fontId="1" fillId="4" borderId="7" xfId="0" applyFont="1" applyFill="1" applyBorder="1"/>
    <xf numFmtId="0" fontId="21" fillId="5" borderId="0" xfId="0" applyFont="1" applyFill="1" applyBorder="1" applyAlignment="1">
      <alignment vertical="top"/>
    </xf>
    <xf numFmtId="0" fontId="4" fillId="5" borderId="0" xfId="0" applyFont="1" applyFill="1" applyAlignment="1">
      <alignment horizontal="left" vertical="top" wrapText="1"/>
    </xf>
    <xf numFmtId="0" fontId="6" fillId="5" borderId="0" xfId="0" applyFont="1" applyFill="1" applyAlignment="1">
      <alignment horizontal="left" vertical="top" wrapText="1"/>
    </xf>
    <xf numFmtId="0" fontId="3" fillId="4" borderId="1" xfId="0" applyFont="1" applyFill="1" applyBorder="1" applyAlignment="1">
      <alignment horizontal="center" vertical="center"/>
    </xf>
    <xf numFmtId="0" fontId="19" fillId="4" borderId="0" xfId="0" applyFont="1" applyFill="1" applyAlignment="1">
      <alignment horizontal="left" vertical="top" wrapText="1"/>
    </xf>
    <xf numFmtId="0" fontId="4" fillId="5" borderId="0" xfId="0" applyFont="1" applyFill="1" applyAlignment="1">
      <alignment horizontal="left" vertical="top" wrapText="1"/>
    </xf>
    <xf numFmtId="0" fontId="19" fillId="5" borderId="0" xfId="0" quotePrefix="1" applyFont="1" applyFill="1" applyBorder="1" applyAlignment="1">
      <alignment vertical="top" wrapText="1"/>
    </xf>
    <xf numFmtId="0" fontId="15" fillId="5" borderId="0" xfId="0" applyFont="1" applyFill="1" applyBorder="1" applyAlignment="1">
      <alignment horizontal="right" vertical="top"/>
    </xf>
    <xf numFmtId="0" fontId="1" fillId="5" borderId="0" xfId="0" applyFont="1" applyFill="1" applyAlignment="1">
      <alignment horizontal="right" vertical="top"/>
    </xf>
    <xf numFmtId="0" fontId="8" fillId="10" borderId="0" xfId="0" applyFont="1" applyFill="1" applyBorder="1" applyAlignment="1">
      <alignment vertical="center"/>
    </xf>
    <xf numFmtId="0" fontId="8" fillId="10" borderId="23" xfId="0" applyFont="1" applyFill="1" applyBorder="1" applyAlignment="1">
      <alignment vertical="center"/>
    </xf>
    <xf numFmtId="0" fontId="8" fillId="3" borderId="23" xfId="0" applyFont="1" applyFill="1" applyBorder="1" applyAlignment="1">
      <alignment horizontal="left" vertical="center"/>
    </xf>
    <xf numFmtId="0" fontId="8" fillId="3" borderId="32" xfId="0" applyFont="1" applyFill="1" applyBorder="1" applyAlignment="1">
      <alignment horizontal="left" vertical="center"/>
    </xf>
    <xf numFmtId="0" fontId="0" fillId="4" borderId="0" xfId="0" applyFill="1"/>
    <xf numFmtId="0" fontId="12" fillId="4" borderId="0" xfId="0" applyFont="1" applyFill="1"/>
    <xf numFmtId="0" fontId="0" fillId="4" borderId="23" xfId="0" applyFill="1" applyBorder="1"/>
    <xf numFmtId="0" fontId="0" fillId="4" borderId="0" xfId="0" applyFill="1" applyBorder="1"/>
    <xf numFmtId="0" fontId="3" fillId="4" borderId="0" xfId="0" applyFont="1" applyFill="1" applyBorder="1" applyAlignment="1">
      <alignment horizontal="center" vertical="center"/>
    </xf>
    <xf numFmtId="0" fontId="12" fillId="4" borderId="0" xfId="0" applyFont="1" applyFill="1" applyBorder="1"/>
    <xf numFmtId="0" fontId="1" fillId="4" borderId="70" xfId="0" applyFont="1" applyFill="1" applyBorder="1" applyAlignment="1">
      <alignment horizontal="left"/>
    </xf>
    <xf numFmtId="0" fontId="1" fillId="4" borderId="70" xfId="0" applyFont="1" applyFill="1" applyBorder="1"/>
    <xf numFmtId="0" fontId="0" fillId="4" borderId="70" xfId="0" applyFill="1" applyBorder="1"/>
    <xf numFmtId="1" fontId="1" fillId="4" borderId="70" xfId="0" applyNumberFormat="1" applyFont="1" applyFill="1" applyBorder="1" applyAlignment="1">
      <alignment horizontal="left"/>
    </xf>
    <xf numFmtId="1" fontId="1" fillId="4" borderId="70" xfId="0" applyNumberFormat="1" applyFont="1" applyFill="1" applyBorder="1"/>
    <xf numFmtId="0" fontId="0" fillId="4" borderId="71" xfId="0" applyFill="1" applyBorder="1"/>
    <xf numFmtId="0" fontId="1" fillId="4" borderId="72" xfId="0" applyFont="1" applyFill="1" applyBorder="1"/>
    <xf numFmtId="0" fontId="1" fillId="4" borderId="71" xfId="0" applyFont="1" applyFill="1" applyBorder="1"/>
    <xf numFmtId="0" fontId="0" fillId="4" borderId="73" xfId="0" applyFill="1" applyBorder="1"/>
    <xf numFmtId="0" fontId="19" fillId="4" borderId="0" xfId="0" applyFont="1" applyFill="1" applyAlignment="1">
      <alignment horizontal="left" vertical="top" wrapText="1"/>
    </xf>
    <xf numFmtId="0" fontId="16" fillId="4" borderId="62" xfId="0" applyFont="1" applyFill="1" applyBorder="1" applyAlignment="1">
      <alignment horizontal="left" vertical="center" wrapText="1"/>
    </xf>
    <xf numFmtId="0" fontId="16" fillId="4" borderId="23" xfId="0" applyFont="1" applyFill="1" applyBorder="1" applyAlignment="1">
      <alignment horizontal="left" vertical="center" wrapText="1"/>
    </xf>
    <xf numFmtId="0" fontId="15" fillId="4" borderId="74" xfId="0" applyFont="1" applyFill="1" applyBorder="1" applyAlignment="1">
      <alignment vertical="center" wrapText="1"/>
    </xf>
    <xf numFmtId="0" fontId="1" fillId="4" borderId="10" xfId="0" applyFont="1" applyFill="1" applyBorder="1" applyAlignment="1">
      <alignment vertical="center"/>
    </xf>
    <xf numFmtId="0" fontId="15" fillId="4" borderId="74" xfId="0" applyFont="1" applyFill="1" applyBorder="1" applyAlignment="1">
      <alignment vertical="center"/>
    </xf>
    <xf numFmtId="0" fontId="15" fillId="4" borderId="75" xfId="0" applyFont="1" applyFill="1" applyBorder="1" applyAlignment="1">
      <alignment vertical="center" wrapText="1"/>
    </xf>
    <xf numFmtId="0" fontId="15" fillId="4" borderId="75" xfId="0" applyFont="1" applyFill="1" applyBorder="1" applyAlignment="1">
      <alignment vertical="center"/>
    </xf>
    <xf numFmtId="0" fontId="1" fillId="4" borderId="75" xfId="0" applyFont="1" applyFill="1" applyBorder="1" applyAlignment="1">
      <alignment vertical="center"/>
    </xf>
    <xf numFmtId="0" fontId="3" fillId="4" borderId="4" xfId="0" applyFont="1" applyFill="1" applyBorder="1" applyAlignment="1">
      <alignment horizontal="center" wrapText="1"/>
    </xf>
    <xf numFmtId="0" fontId="3" fillId="4" borderId="0" xfId="0" applyFont="1" applyFill="1" applyBorder="1" applyAlignment="1">
      <alignment horizontal="right"/>
    </xf>
    <xf numFmtId="0" fontId="3" fillId="8" borderId="76" xfId="0" applyFont="1" applyFill="1" applyBorder="1"/>
    <xf numFmtId="0" fontId="1" fillId="8" borderId="76" xfId="0" applyFont="1" applyFill="1" applyBorder="1"/>
    <xf numFmtId="0" fontId="1" fillId="8" borderId="77" xfId="0" applyFont="1" applyFill="1" applyBorder="1"/>
    <xf numFmtId="0" fontId="1" fillId="8" borderId="78" xfId="0" applyFont="1" applyFill="1" applyBorder="1"/>
    <xf numFmtId="0" fontId="4" fillId="8" borderId="78" xfId="0" applyFont="1" applyFill="1" applyBorder="1" applyAlignment="1">
      <alignment vertical="top" wrapText="1"/>
    </xf>
    <xf numFmtId="0" fontId="6" fillId="4" borderId="0" xfId="0" applyFont="1" applyFill="1" applyAlignment="1">
      <alignment horizontal="left" vertical="top"/>
    </xf>
    <xf numFmtId="1" fontId="1" fillId="4" borderId="6" xfId="2" applyNumberFormat="1" applyFont="1" applyFill="1" applyBorder="1" applyAlignment="1">
      <alignment horizontal="left" vertical="center" wrapText="1"/>
    </xf>
    <xf numFmtId="1" fontId="1" fillId="4" borderId="3" xfId="2" applyNumberFormat="1" applyFont="1" applyFill="1" applyBorder="1" applyAlignment="1">
      <alignment horizontal="left" vertical="center" wrapText="1"/>
    </xf>
    <xf numFmtId="1" fontId="1" fillId="4" borderId="1" xfId="0" applyNumberFormat="1" applyFont="1" applyFill="1" applyBorder="1" applyAlignment="1">
      <alignment horizontal="center"/>
    </xf>
    <xf numFmtId="0" fontId="20" fillId="0" borderId="0" xfId="0" applyFont="1"/>
    <xf numFmtId="0" fontId="3" fillId="4" borderId="70" xfId="0" applyFont="1" applyFill="1" applyBorder="1"/>
    <xf numFmtId="0" fontId="12" fillId="4" borderId="70" xfId="0" applyFont="1" applyFill="1" applyBorder="1"/>
    <xf numFmtId="0" fontId="0" fillId="4" borderId="70" xfId="0" applyFont="1" applyFill="1" applyBorder="1"/>
    <xf numFmtId="0" fontId="0" fillId="4" borderId="70" xfId="0" applyFill="1" applyBorder="1" applyAlignment="1">
      <alignment vertical="center"/>
    </xf>
    <xf numFmtId="0" fontId="0" fillId="4" borderId="70" xfId="0" quotePrefix="1" applyFill="1" applyBorder="1" applyAlignment="1">
      <alignment horizontal="center" vertical="center"/>
    </xf>
    <xf numFmtId="9" fontId="0" fillId="4" borderId="70" xfId="2" applyFont="1" applyFill="1" applyBorder="1" applyAlignment="1">
      <alignment horizontal="left" vertical="center"/>
    </xf>
    <xf numFmtId="3" fontId="0" fillId="4" borderId="70" xfId="0" applyNumberFormat="1" applyFill="1" applyBorder="1" applyAlignment="1">
      <alignment vertical="center"/>
    </xf>
    <xf numFmtId="0" fontId="3" fillId="7" borderId="0" xfId="0" applyFont="1" applyFill="1"/>
    <xf numFmtId="0" fontId="3" fillId="5" borderId="0" xfId="0" applyFont="1" applyFill="1"/>
    <xf numFmtId="9" fontId="3" fillId="11" borderId="11" xfId="0" applyNumberFormat="1" applyFont="1" applyFill="1" applyBorder="1"/>
    <xf numFmtId="0" fontId="1" fillId="9" borderId="1" xfId="0" applyFont="1" applyFill="1" applyBorder="1" applyAlignment="1">
      <alignment horizontal="center"/>
    </xf>
    <xf numFmtId="0" fontId="15" fillId="7" borderId="0" xfId="0" applyFont="1" applyFill="1"/>
    <xf numFmtId="0" fontId="15" fillId="4" borderId="29" xfId="0" applyFont="1" applyFill="1" applyBorder="1" applyAlignment="1">
      <alignment vertical="center"/>
    </xf>
    <xf numFmtId="0" fontId="15" fillId="4" borderId="32" xfId="0" applyFont="1" applyFill="1" applyBorder="1" applyAlignment="1">
      <alignment vertical="center"/>
    </xf>
    <xf numFmtId="0" fontId="15" fillId="4" borderId="30" xfId="0" applyFont="1" applyFill="1" applyBorder="1" applyAlignment="1">
      <alignment vertical="center"/>
    </xf>
    <xf numFmtId="0" fontId="15" fillId="4" borderId="29" xfId="0" applyFont="1" applyFill="1" applyBorder="1"/>
    <xf numFmtId="0" fontId="15" fillId="4" borderId="32" xfId="0" applyFont="1" applyFill="1" applyBorder="1"/>
    <xf numFmtId="0" fontId="15" fillId="4" borderId="30" xfId="0" applyFont="1" applyFill="1" applyBorder="1"/>
    <xf numFmtId="0" fontId="6" fillId="5" borderId="0" xfId="0" applyFont="1" applyFill="1"/>
    <xf numFmtId="0" fontId="7" fillId="7" borderId="0" xfId="0" applyFont="1" applyFill="1" applyAlignment="1">
      <alignment horizontal="right"/>
    </xf>
    <xf numFmtId="0" fontId="7" fillId="5" borderId="0" xfId="0" applyFont="1" applyFill="1"/>
    <xf numFmtId="0" fontId="7" fillId="7" borderId="0" xfId="0" applyFont="1" applyFill="1"/>
    <xf numFmtId="0" fontId="7" fillId="5" borderId="0" xfId="0" applyFont="1" applyFill="1" applyAlignment="1">
      <alignment horizontal="left" vertical="top" wrapText="1"/>
    </xf>
    <xf numFmtId="0" fontId="18" fillId="7" borderId="0" xfId="0" applyFont="1" applyFill="1"/>
    <xf numFmtId="3" fontId="1" fillId="4" borderId="70" xfId="0" applyNumberFormat="1" applyFont="1" applyFill="1" applyBorder="1" applyAlignment="1">
      <alignment horizontal="left"/>
    </xf>
    <xf numFmtId="3" fontId="1" fillId="4" borderId="70" xfId="0" applyNumberFormat="1" applyFont="1" applyFill="1" applyBorder="1"/>
    <xf numFmtId="3" fontId="0" fillId="4" borderId="70" xfId="0" applyNumberFormat="1" applyFill="1" applyBorder="1" applyAlignment="1">
      <alignment horizontal="right" vertical="center"/>
    </xf>
    <xf numFmtId="0" fontId="15" fillId="7" borderId="0" xfId="0" applyFont="1" applyFill="1" applyAlignment="1">
      <alignment horizontal="center" vertical="center"/>
    </xf>
    <xf numFmtId="3" fontId="1" fillId="9" borderId="1" xfId="0" applyNumberFormat="1" applyFont="1" applyFill="1" applyBorder="1" applyAlignment="1">
      <alignment horizontal="right"/>
    </xf>
    <xf numFmtId="0" fontId="0" fillId="4" borderId="0" xfId="0" applyFill="1" applyAlignment="1">
      <alignment vertical="top" wrapText="1"/>
    </xf>
    <xf numFmtId="0" fontId="12" fillId="4" borderId="0" xfId="0" applyFont="1" applyFill="1" applyAlignment="1">
      <alignment vertical="top" wrapText="1"/>
    </xf>
    <xf numFmtId="0" fontId="12" fillId="4" borderId="0" xfId="0" applyFont="1" applyFill="1" applyAlignment="1">
      <alignment wrapText="1"/>
    </xf>
    <xf numFmtId="0" fontId="0" fillId="4" borderId="0" xfId="0" applyFill="1" applyAlignment="1">
      <alignment wrapText="1"/>
    </xf>
    <xf numFmtId="0" fontId="0" fillId="6" borderId="23" xfId="0" applyFill="1" applyBorder="1"/>
    <xf numFmtId="0" fontId="12" fillId="4" borderId="0" xfId="0" applyFont="1" applyFill="1" applyAlignment="1">
      <alignment horizontal="right"/>
    </xf>
    <xf numFmtId="3" fontId="0" fillId="4" borderId="70" xfId="0" applyNumberFormat="1" applyFill="1" applyBorder="1" applyAlignment="1">
      <alignment horizontal="right"/>
    </xf>
    <xf numFmtId="3" fontId="12" fillId="4" borderId="70" xfId="0" applyNumberFormat="1" applyFont="1" applyFill="1" applyBorder="1" applyAlignment="1">
      <alignment horizontal="right"/>
    </xf>
    <xf numFmtId="0" fontId="12" fillId="4" borderId="0" xfId="0" applyFont="1" applyFill="1" applyBorder="1" applyAlignment="1">
      <alignment horizontal="right"/>
    </xf>
    <xf numFmtId="0" fontId="4" fillId="4" borderId="0" xfId="0" applyFont="1" applyFill="1" applyBorder="1" applyAlignment="1">
      <alignment horizontal="left" vertical="top"/>
    </xf>
    <xf numFmtId="0" fontId="3" fillId="4" borderId="10" xfId="0" applyFont="1" applyFill="1" applyBorder="1"/>
    <xf numFmtId="0" fontId="3" fillId="4" borderId="9" xfId="0" applyFont="1" applyFill="1" applyBorder="1"/>
    <xf numFmtId="0" fontId="3" fillId="4" borderId="74" xfId="0" applyFont="1" applyFill="1" applyBorder="1"/>
    <xf numFmtId="0" fontId="1" fillId="4" borderId="67" xfId="0" applyFont="1" applyFill="1" applyBorder="1"/>
    <xf numFmtId="0" fontId="3" fillId="4" borderId="80" xfId="0" applyFont="1" applyFill="1" applyBorder="1"/>
    <xf numFmtId="0" fontId="3" fillId="4" borderId="67" xfId="0" applyFont="1" applyFill="1" applyBorder="1"/>
    <xf numFmtId="1" fontId="3" fillId="4" borderId="0" xfId="0" applyNumberFormat="1" applyFont="1" applyFill="1" applyBorder="1" applyAlignment="1"/>
    <xf numFmtId="1" fontId="1" fillId="4" borderId="1" xfId="0" applyNumberFormat="1" applyFont="1" applyFill="1" applyBorder="1" applyAlignment="1">
      <alignment horizontal="center" vertical="center"/>
    </xf>
    <xf numFmtId="0" fontId="26" fillId="4" borderId="0" xfId="0" applyFont="1" applyFill="1"/>
    <xf numFmtId="0" fontId="21" fillId="5" borderId="0" xfId="0" applyFont="1" applyFill="1" applyBorder="1" applyAlignment="1">
      <alignment horizontal="left" vertical="top" wrapText="1"/>
    </xf>
    <xf numFmtId="1" fontId="1" fillId="4" borderId="2" xfId="2" applyNumberFormat="1" applyFont="1" applyFill="1" applyBorder="1" applyAlignment="1">
      <alignment horizontal="left" vertical="center"/>
    </xf>
    <xf numFmtId="3" fontId="23" fillId="11" borderId="11" xfId="0" applyNumberFormat="1" applyFont="1" applyFill="1" applyBorder="1" applyAlignment="1">
      <alignment wrapText="1"/>
    </xf>
    <xf numFmtId="3" fontId="23" fillId="12" borderId="11" xfId="0" applyNumberFormat="1" applyFont="1" applyFill="1" applyBorder="1" applyAlignment="1">
      <alignment wrapText="1"/>
    </xf>
    <xf numFmtId="9" fontId="1" fillId="4" borderId="0" xfId="2" applyFont="1" applyFill="1"/>
    <xf numFmtId="0" fontId="0" fillId="6" borderId="32" xfId="0" applyFill="1" applyBorder="1"/>
    <xf numFmtId="0" fontId="11" fillId="4" borderId="0" xfId="0" applyFont="1" applyFill="1" applyAlignment="1">
      <alignment horizontal="center" vertical="top"/>
    </xf>
    <xf numFmtId="0" fontId="2" fillId="7" borderId="0" xfId="0" applyFont="1" applyFill="1"/>
    <xf numFmtId="0" fontId="1" fillId="5" borderId="1" xfId="0" applyFont="1" applyFill="1" applyBorder="1" applyAlignment="1">
      <alignment vertical="center"/>
    </xf>
    <xf numFmtId="0" fontId="1" fillId="5" borderId="1" xfId="0" applyFont="1" applyFill="1" applyBorder="1" applyAlignment="1"/>
    <xf numFmtId="0" fontId="1" fillId="5" borderId="0" xfId="0" applyFont="1" applyFill="1" applyAlignment="1">
      <alignment horizontal="right" vertical="center" wrapText="1"/>
    </xf>
    <xf numFmtId="0" fontId="1" fillId="5" borderId="0" xfId="0" applyFont="1" applyFill="1" applyBorder="1" applyAlignment="1">
      <alignment horizontal="right" vertical="center" wrapText="1"/>
    </xf>
    <xf numFmtId="0" fontId="3" fillId="4" borderId="18" xfId="0" applyFont="1" applyFill="1" applyBorder="1" applyAlignment="1">
      <alignment horizontal="center" vertical="center" wrapText="1"/>
    </xf>
    <xf numFmtId="0" fontId="20" fillId="4" borderId="0" xfId="0" applyFont="1" applyFill="1"/>
    <xf numFmtId="0" fontId="3" fillId="4" borderId="1" xfId="0" applyFont="1" applyFill="1" applyBorder="1" applyAlignment="1">
      <alignment horizontal="left" vertical="center"/>
    </xf>
    <xf numFmtId="0" fontId="27" fillId="0" borderId="0" xfId="0" applyFont="1"/>
    <xf numFmtId="0" fontId="1" fillId="4" borderId="80" xfId="0" applyFont="1" applyFill="1" applyBorder="1"/>
    <xf numFmtId="0" fontId="3" fillId="4" borderId="81" xfId="0" applyFont="1" applyFill="1" applyBorder="1" applyAlignment="1">
      <alignment vertical="center"/>
    </xf>
    <xf numFmtId="0" fontId="3" fillId="4" borderId="82" xfId="0" applyFont="1" applyFill="1" applyBorder="1" applyAlignment="1">
      <alignment horizontal="center" vertical="center" wrapText="1"/>
    </xf>
    <xf numFmtId="0" fontId="3" fillId="4" borderId="86" xfId="0" applyFont="1" applyFill="1" applyBorder="1" applyAlignment="1">
      <alignment horizontal="center" vertical="top" wrapText="1"/>
    </xf>
    <xf numFmtId="0" fontId="3" fillId="4" borderId="85" xfId="0" applyFont="1" applyFill="1" applyBorder="1" applyAlignment="1">
      <alignment horizontal="center" vertical="center" wrapText="1"/>
    </xf>
    <xf numFmtId="0" fontId="3" fillId="4" borderId="61" xfId="0" applyFont="1" applyFill="1" applyBorder="1" applyAlignment="1">
      <alignment horizontal="center" vertical="center" wrapText="1"/>
    </xf>
    <xf numFmtId="1" fontId="1" fillId="3" borderId="3" xfId="0" applyNumberFormat="1" applyFont="1" applyFill="1" applyBorder="1" applyAlignment="1">
      <alignment horizontal="center" vertical="center" wrapText="1"/>
    </xf>
    <xf numFmtId="3" fontId="23" fillId="11" borderId="11" xfId="0" applyNumberFormat="1" applyFont="1" applyFill="1" applyBorder="1" applyAlignment="1">
      <alignment vertical="center" wrapText="1"/>
    </xf>
    <xf numFmtId="0" fontId="3" fillId="5" borderId="0" xfId="0" applyFont="1" applyFill="1" applyAlignment="1">
      <alignment vertical="center"/>
    </xf>
    <xf numFmtId="0" fontId="5" fillId="7" borderId="0" xfId="0" applyFont="1" applyFill="1" applyAlignment="1">
      <alignment horizontal="right" vertical="center"/>
    </xf>
    <xf numFmtId="3" fontId="23" fillId="12" borderId="11" xfId="0" applyNumberFormat="1" applyFont="1" applyFill="1" applyBorder="1" applyAlignment="1">
      <alignment vertical="center" wrapText="1"/>
    </xf>
    <xf numFmtId="0" fontId="3" fillId="7" borderId="0" xfId="0" applyFont="1" applyFill="1" applyAlignment="1">
      <alignment vertical="center"/>
    </xf>
    <xf numFmtId="0" fontId="3" fillId="4" borderId="3" xfId="0" applyFont="1" applyFill="1" applyBorder="1" applyAlignment="1">
      <alignment horizontal="center"/>
    </xf>
    <xf numFmtId="0" fontId="3" fillId="4" borderId="3" xfId="0" applyFont="1" applyFill="1" applyBorder="1" applyAlignment="1">
      <alignment horizontal="center" vertical="center"/>
    </xf>
    <xf numFmtId="0" fontId="3" fillId="4" borderId="2" xfId="0" applyFont="1" applyFill="1" applyBorder="1" applyAlignment="1">
      <alignment horizontal="center" vertical="center"/>
    </xf>
    <xf numFmtId="0" fontId="1" fillId="3" borderId="1" xfId="0" applyFont="1" applyFill="1" applyBorder="1" applyAlignment="1">
      <alignment horizontal="center" vertical="center"/>
    </xf>
    <xf numFmtId="3" fontId="12" fillId="4" borderId="70" xfId="0" applyNumberFormat="1" applyFont="1" applyFill="1" applyBorder="1" applyAlignment="1">
      <alignment horizontal="right"/>
    </xf>
    <xf numFmtId="0" fontId="1" fillId="3" borderId="1" xfId="0" applyFont="1" applyFill="1" applyBorder="1" applyAlignment="1">
      <alignment horizontal="center"/>
    </xf>
    <xf numFmtId="0" fontId="1" fillId="3" borderId="1" xfId="0" applyFont="1" applyFill="1" applyBorder="1" applyAlignment="1">
      <alignment vertical="center"/>
    </xf>
    <xf numFmtId="1" fontId="1" fillId="3" borderId="1" xfId="0" applyNumberFormat="1" applyFont="1" applyFill="1" applyBorder="1" applyAlignment="1">
      <alignment vertical="center"/>
    </xf>
    <xf numFmtId="0" fontId="1" fillId="3" borderId="1" xfId="0" applyFont="1" applyFill="1" applyBorder="1"/>
    <xf numFmtId="9" fontId="1" fillId="3" borderId="1" xfId="0" applyNumberFormat="1" applyFont="1" applyFill="1" applyBorder="1" applyAlignment="1">
      <alignment horizontal="center"/>
    </xf>
    <xf numFmtId="0" fontId="3" fillId="4" borderId="0" xfId="0" applyFont="1" applyFill="1" applyAlignment="1">
      <alignment horizontal="right" vertical="center"/>
    </xf>
    <xf numFmtId="1" fontId="18" fillId="3" borderId="1" xfId="0" applyNumberFormat="1" applyFont="1" applyFill="1" applyBorder="1" applyAlignment="1">
      <alignment horizontal="center" vertical="center" wrapText="1"/>
    </xf>
    <xf numFmtId="9" fontId="1" fillId="5" borderId="2" xfId="0" applyNumberFormat="1" applyFont="1" applyFill="1" applyBorder="1" applyAlignment="1">
      <alignment horizontal="center" vertical="center"/>
    </xf>
    <xf numFmtId="0" fontId="3" fillId="4" borderId="41" xfId="0" applyFont="1" applyFill="1" applyBorder="1" applyAlignment="1">
      <alignment horizontal="center" vertical="center"/>
    </xf>
    <xf numFmtId="9" fontId="1" fillId="5" borderId="6" xfId="0" applyNumberFormat="1" applyFont="1" applyFill="1" applyBorder="1" applyAlignment="1">
      <alignment horizontal="center" vertical="center"/>
    </xf>
    <xf numFmtId="9" fontId="1" fillId="5" borderId="3" xfId="0" applyNumberFormat="1" applyFont="1" applyFill="1" applyBorder="1" applyAlignment="1">
      <alignment horizontal="center" vertical="center"/>
    </xf>
    <xf numFmtId="0" fontId="3" fillId="4" borderId="10" xfId="0" applyFont="1" applyFill="1" applyBorder="1" applyAlignment="1">
      <alignment horizontal="center" vertical="center"/>
    </xf>
    <xf numFmtId="0" fontId="3" fillId="4" borderId="89" xfId="0" applyFont="1" applyFill="1" applyBorder="1" applyAlignment="1">
      <alignment horizontal="center" vertical="center"/>
    </xf>
    <xf numFmtId="9" fontId="1" fillId="5" borderId="88" xfId="0" applyNumberFormat="1" applyFont="1" applyFill="1" applyBorder="1" applyAlignment="1">
      <alignment horizontal="center" vertical="center"/>
    </xf>
    <xf numFmtId="0" fontId="3" fillId="4" borderId="10" xfId="0" applyFont="1" applyFill="1" applyBorder="1" applyAlignment="1">
      <alignment horizontal="center"/>
    </xf>
    <xf numFmtId="0" fontId="3" fillId="4" borderId="90" xfId="0" applyFont="1" applyFill="1" applyBorder="1" applyAlignment="1">
      <alignment horizontal="center"/>
    </xf>
    <xf numFmtId="9" fontId="1" fillId="5" borderId="68" xfId="0" applyNumberFormat="1" applyFont="1" applyFill="1" applyBorder="1" applyAlignment="1">
      <alignment horizontal="center" vertical="center"/>
    </xf>
    <xf numFmtId="1" fontId="1" fillId="3" borderId="6" xfId="0" applyNumberFormat="1" applyFont="1" applyFill="1" applyBorder="1" applyAlignment="1">
      <alignment horizontal="center" vertical="center"/>
    </xf>
    <xf numFmtId="1" fontId="1" fillId="3" borderId="68" xfId="0" applyNumberFormat="1" applyFont="1" applyFill="1" applyBorder="1" applyAlignment="1">
      <alignment horizontal="center" vertical="center"/>
    </xf>
    <xf numFmtId="9" fontId="1" fillId="5" borderId="90" xfId="0" applyNumberFormat="1" applyFont="1" applyFill="1" applyBorder="1" applyAlignment="1">
      <alignment horizontal="center" vertical="center"/>
    </xf>
    <xf numFmtId="9" fontId="1" fillId="3" borderId="1" xfId="2" applyFont="1" applyFill="1" applyBorder="1" applyAlignment="1">
      <alignment horizontal="center" vertical="top"/>
    </xf>
    <xf numFmtId="9" fontId="1" fillId="3" borderId="1" xfId="0" applyNumberFormat="1" applyFont="1" applyFill="1" applyBorder="1" applyAlignment="1">
      <alignment horizontal="center" vertical="center" wrapText="1"/>
    </xf>
    <xf numFmtId="9" fontId="1" fillId="3" borderId="1" xfId="0" applyNumberFormat="1" applyFont="1" applyFill="1" applyBorder="1" applyAlignment="1">
      <alignment horizontal="center" vertical="center"/>
    </xf>
    <xf numFmtId="9" fontId="1" fillId="3" borderId="1" xfId="2" applyFont="1" applyFill="1" applyBorder="1" applyAlignment="1">
      <alignment horizontal="center"/>
    </xf>
    <xf numFmtId="14" fontId="1" fillId="2" borderId="19" xfId="0" applyNumberFormat="1" applyFont="1" applyFill="1" applyBorder="1" applyAlignment="1" applyProtection="1">
      <alignment horizontal="center"/>
      <protection locked="0"/>
    </xf>
    <xf numFmtId="0" fontId="1" fillId="2" borderId="19" xfId="0" applyFont="1" applyFill="1" applyBorder="1" applyAlignment="1" applyProtection="1">
      <alignment horizontal="center"/>
      <protection locked="0"/>
    </xf>
    <xf numFmtId="0" fontId="1" fillId="2" borderId="66" xfId="0" applyFont="1" applyFill="1" applyBorder="1" applyAlignment="1" applyProtection="1">
      <alignment horizontal="center"/>
      <protection locked="0"/>
    </xf>
    <xf numFmtId="1" fontId="1" fillId="2" borderId="55" xfId="2" applyNumberFormat="1" applyFont="1" applyFill="1" applyBorder="1" applyAlignment="1" applyProtection="1">
      <alignment horizontal="center" vertical="center"/>
      <protection locked="0"/>
    </xf>
    <xf numFmtId="1" fontId="1" fillId="2" borderId="28" xfId="2" applyNumberFormat="1" applyFont="1" applyFill="1" applyBorder="1" applyAlignment="1" applyProtection="1">
      <alignment horizontal="center" vertical="center"/>
      <protection locked="0"/>
    </xf>
    <xf numFmtId="0" fontId="1" fillId="2" borderId="22" xfId="0" applyFont="1" applyFill="1" applyBorder="1" applyAlignment="1" applyProtection="1">
      <alignment horizontal="center"/>
      <protection locked="0"/>
    </xf>
    <xf numFmtId="0" fontId="1" fillId="2" borderId="8" xfId="0" applyFont="1" applyFill="1" applyBorder="1" applyAlignment="1" applyProtection="1">
      <alignment horizontal="center"/>
      <protection locked="0"/>
    </xf>
    <xf numFmtId="0" fontId="1" fillId="2" borderId="22" xfId="0" applyFont="1" applyFill="1" applyBorder="1" applyAlignment="1" applyProtection="1">
      <alignment horizontal="center" vertical="center"/>
      <protection locked="0"/>
    </xf>
    <xf numFmtId="0" fontId="1" fillId="2" borderId="8" xfId="0" applyFont="1" applyFill="1" applyBorder="1" applyAlignment="1" applyProtection="1">
      <alignment horizontal="center" vertical="center"/>
      <protection locked="0"/>
    </xf>
    <xf numFmtId="0" fontId="1" fillId="2" borderId="26" xfId="0" applyFont="1" applyFill="1" applyBorder="1" applyAlignment="1" applyProtection="1">
      <alignment horizontal="center" vertical="center"/>
      <protection locked="0"/>
    </xf>
    <xf numFmtId="0" fontId="1" fillId="2" borderId="27" xfId="0" applyFont="1" applyFill="1" applyBorder="1" applyAlignment="1" applyProtection="1">
      <alignment horizontal="center" vertical="center"/>
      <protection locked="0"/>
    </xf>
    <xf numFmtId="9" fontId="1" fillId="2" borderId="1" xfId="0" applyNumberFormat="1" applyFont="1" applyFill="1" applyBorder="1" applyAlignment="1" applyProtection="1">
      <alignment horizontal="center" vertical="center"/>
      <protection locked="0"/>
    </xf>
    <xf numFmtId="0" fontId="1" fillId="2" borderId="1" xfId="0" applyFont="1" applyFill="1" applyBorder="1" applyAlignment="1" applyProtection="1">
      <alignment horizontal="center" vertical="center" wrapText="1"/>
      <protection locked="0"/>
    </xf>
    <xf numFmtId="9" fontId="1" fillId="2" borderId="1" xfId="0" applyNumberFormat="1" applyFont="1" applyFill="1" applyBorder="1" applyAlignment="1" applyProtection="1">
      <alignment vertical="center"/>
      <protection locked="0"/>
    </xf>
    <xf numFmtId="3" fontId="15" fillId="2" borderId="34" xfId="0" applyNumberFormat="1" applyFont="1" applyFill="1" applyBorder="1" applyAlignment="1" applyProtection="1">
      <alignment horizontal="center" vertical="center"/>
      <protection locked="0"/>
    </xf>
    <xf numFmtId="0" fontId="15" fillId="2" borderId="34" xfId="0" applyFont="1" applyFill="1" applyBorder="1" applyAlignment="1" applyProtection="1">
      <alignment horizontal="center" vertical="center"/>
      <protection locked="0"/>
    </xf>
    <xf numFmtId="9" fontId="1" fillId="2" borderId="1" xfId="2" applyFont="1" applyFill="1" applyBorder="1" applyAlignment="1" applyProtection="1">
      <alignment horizontal="right" vertical="center"/>
      <protection locked="0"/>
    </xf>
    <xf numFmtId="0" fontId="1" fillId="2" borderId="55" xfId="0" applyFont="1" applyFill="1" applyBorder="1" applyAlignment="1" applyProtection="1">
      <alignment horizontal="center"/>
      <protection locked="0"/>
    </xf>
    <xf numFmtId="0" fontId="1" fillId="2" borderId="28" xfId="0" applyFont="1" applyFill="1" applyBorder="1" applyAlignment="1" applyProtection="1">
      <alignment horizontal="center"/>
      <protection locked="0"/>
    </xf>
    <xf numFmtId="9" fontId="15" fillId="2" borderId="1" xfId="2" applyFont="1" applyFill="1" applyBorder="1" applyAlignment="1" applyProtection="1">
      <alignment vertical="center"/>
      <protection locked="0"/>
    </xf>
    <xf numFmtId="0" fontId="15" fillId="2" borderId="1" xfId="0" applyFont="1" applyFill="1" applyBorder="1" applyAlignment="1" applyProtection="1">
      <alignment horizontal="center"/>
      <protection locked="0"/>
    </xf>
    <xf numFmtId="0" fontId="1" fillId="4" borderId="28" xfId="0" applyFont="1" applyFill="1" applyBorder="1" applyAlignment="1" applyProtection="1">
      <alignment horizontal="center"/>
    </xf>
    <xf numFmtId="0" fontId="1" fillId="4" borderId="16" xfId="0" applyFont="1" applyFill="1" applyBorder="1" applyAlignment="1">
      <alignment horizontal="center"/>
    </xf>
    <xf numFmtId="0" fontId="1" fillId="4" borderId="16" xfId="0" applyFont="1" applyFill="1" applyBorder="1" applyAlignment="1">
      <alignment horizontal="center" vertical="center"/>
    </xf>
    <xf numFmtId="0" fontId="1" fillId="4" borderId="28" xfId="0" applyFont="1" applyFill="1" applyBorder="1" applyAlignment="1">
      <alignment horizontal="center" vertical="center"/>
    </xf>
    <xf numFmtId="0" fontId="15" fillId="3" borderId="4" xfId="0" applyFont="1" applyFill="1" applyBorder="1" applyAlignment="1">
      <alignment horizontal="center"/>
    </xf>
    <xf numFmtId="1" fontId="15" fillId="3" borderId="4" xfId="0" applyNumberFormat="1" applyFont="1" applyFill="1" applyBorder="1" applyAlignment="1">
      <alignment horizontal="center"/>
    </xf>
    <xf numFmtId="0" fontId="15" fillId="3" borderId="50" xfId="0" applyFont="1" applyFill="1" applyBorder="1" applyAlignment="1">
      <alignment horizontal="center"/>
    </xf>
    <xf numFmtId="1" fontId="15" fillId="3" borderId="50" xfId="0" applyNumberFormat="1" applyFont="1" applyFill="1" applyBorder="1" applyAlignment="1">
      <alignment horizontal="center"/>
    </xf>
    <xf numFmtId="0" fontId="15" fillId="3" borderId="1" xfId="0" applyFont="1" applyFill="1" applyBorder="1" applyAlignment="1">
      <alignment horizontal="center"/>
    </xf>
    <xf numFmtId="1" fontId="15" fillId="3" borderId="1" xfId="0" applyNumberFormat="1" applyFont="1" applyFill="1" applyBorder="1" applyAlignment="1">
      <alignment horizontal="center"/>
    </xf>
    <xf numFmtId="1" fontId="1" fillId="3" borderId="1" xfId="0" applyNumberFormat="1" applyFont="1" applyFill="1" applyBorder="1" applyAlignment="1">
      <alignment horizontal="center" vertical="top"/>
    </xf>
    <xf numFmtId="0" fontId="1" fillId="3" borderId="5" xfId="0" applyFont="1" applyFill="1" applyBorder="1" applyAlignment="1">
      <alignment horizontal="center"/>
    </xf>
    <xf numFmtId="1" fontId="1" fillId="3" borderId="8" xfId="0" applyNumberFormat="1" applyFont="1" applyFill="1" applyBorder="1" applyAlignment="1">
      <alignment horizontal="center"/>
    </xf>
    <xf numFmtId="1" fontId="1" fillId="3" borderId="5" xfId="0" applyNumberFormat="1" applyFont="1" applyFill="1" applyBorder="1" applyAlignment="1">
      <alignment horizontal="center"/>
    </xf>
    <xf numFmtId="0" fontId="1" fillId="3" borderId="8" xfId="0" applyFont="1" applyFill="1" applyBorder="1" applyAlignment="1">
      <alignment horizontal="center"/>
    </xf>
    <xf numFmtId="0" fontId="1" fillId="3" borderId="2" xfId="0" applyFont="1" applyFill="1" applyBorder="1" applyAlignment="1">
      <alignment horizontal="center"/>
    </xf>
    <xf numFmtId="165" fontId="1" fillId="3" borderId="2" xfId="0" applyNumberFormat="1" applyFont="1" applyFill="1" applyBorder="1" applyAlignment="1">
      <alignment horizontal="center"/>
    </xf>
    <xf numFmtId="1" fontId="1" fillId="3" borderId="2" xfId="0" applyNumberFormat="1" applyFont="1" applyFill="1" applyBorder="1" applyAlignment="1">
      <alignment horizontal="center"/>
    </xf>
    <xf numFmtId="9" fontId="1" fillId="0" borderId="0" xfId="0" applyNumberFormat="1" applyFont="1"/>
    <xf numFmtId="164" fontId="1" fillId="0" borderId="0" xfId="3" applyFont="1"/>
    <xf numFmtId="1" fontId="3" fillId="6" borderId="1" xfId="0" applyNumberFormat="1" applyFont="1" applyFill="1" applyBorder="1" applyAlignment="1">
      <alignment horizontal="center"/>
    </xf>
    <xf numFmtId="1" fontId="1" fillId="6" borderId="1" xfId="0" applyNumberFormat="1" applyFont="1" applyFill="1" applyBorder="1" applyAlignment="1">
      <alignment horizontal="center"/>
    </xf>
    <xf numFmtId="1" fontId="1" fillId="6" borderId="1" xfId="2" applyNumberFormat="1" applyFont="1" applyFill="1" applyBorder="1" applyAlignment="1">
      <alignment horizontal="center"/>
    </xf>
    <xf numFmtId="9" fontId="1" fillId="6" borderId="1" xfId="2" applyFont="1" applyFill="1" applyBorder="1" applyAlignment="1">
      <alignment horizontal="center"/>
    </xf>
    <xf numFmtId="3" fontId="12" fillId="4" borderId="70" xfId="0" applyNumberFormat="1" applyFont="1" applyFill="1" applyBorder="1" applyAlignment="1">
      <alignment horizontal="right" vertical="center"/>
    </xf>
    <xf numFmtId="3" fontId="0" fillId="4" borderId="70" xfId="0" applyNumberFormat="1" applyFont="1" applyFill="1" applyBorder="1" applyAlignment="1">
      <alignment horizontal="right"/>
    </xf>
    <xf numFmtId="0" fontId="22" fillId="10" borderId="0" xfId="0" applyFont="1" applyFill="1" applyBorder="1" applyAlignment="1"/>
    <xf numFmtId="0" fontId="22" fillId="10" borderId="0" xfId="0" applyFont="1" applyFill="1"/>
    <xf numFmtId="0" fontId="1" fillId="0" borderId="79" xfId="0" applyFont="1" applyBorder="1" applyAlignment="1">
      <alignment horizontal="right"/>
    </xf>
    <xf numFmtId="0" fontId="32" fillId="10" borderId="0" xfId="0" applyFont="1" applyFill="1" applyBorder="1" applyAlignment="1">
      <alignment horizontal="left" vertical="center" wrapText="1"/>
    </xf>
    <xf numFmtId="0" fontId="19" fillId="7" borderId="0" xfId="0" applyFont="1" applyFill="1" applyAlignment="1">
      <alignment horizontal="left" vertical="top" wrapText="1"/>
    </xf>
    <xf numFmtId="0" fontId="19" fillId="5" borderId="0" xfId="0" applyFont="1" applyFill="1" applyBorder="1" applyAlignment="1">
      <alignment horizontal="left" vertical="top" wrapText="1"/>
    </xf>
    <xf numFmtId="0" fontId="1" fillId="5" borderId="0" xfId="0" applyFont="1" applyFill="1" applyAlignment="1">
      <alignment horizontal="right" vertical="center" wrapText="1"/>
    </xf>
    <xf numFmtId="0" fontId="1" fillId="5" borderId="9" xfId="0" applyFont="1" applyFill="1" applyBorder="1" applyAlignment="1">
      <alignment horizontal="right" vertical="center" wrapText="1"/>
    </xf>
    <xf numFmtId="0" fontId="4" fillId="5" borderId="0" xfId="0" applyFont="1" applyFill="1" applyAlignment="1">
      <alignment horizontal="left" vertical="top" wrapText="1"/>
    </xf>
    <xf numFmtId="0" fontId="6" fillId="5" borderId="0" xfId="0" applyFont="1" applyFill="1" applyAlignment="1">
      <alignment horizontal="left" vertical="top" wrapText="1"/>
    </xf>
    <xf numFmtId="1" fontId="1" fillId="2" borderId="2" xfId="0" applyNumberFormat="1" applyFont="1" applyFill="1" applyBorder="1" applyAlignment="1" applyProtection="1">
      <alignment horizontal="center" vertical="center" wrapText="1"/>
      <protection locked="0"/>
    </xf>
    <xf numFmtId="1" fontId="1" fillId="2" borderId="3" xfId="0" applyNumberFormat="1" applyFont="1" applyFill="1" applyBorder="1" applyAlignment="1" applyProtection="1">
      <alignment horizontal="center" vertical="center" wrapText="1"/>
      <protection locked="0"/>
    </xf>
    <xf numFmtId="0" fontId="1" fillId="5" borderId="0" xfId="0" applyFont="1" applyFill="1" applyBorder="1" applyAlignment="1">
      <alignment horizontal="right" vertical="center" wrapText="1"/>
    </xf>
    <xf numFmtId="0" fontId="1" fillId="4" borderId="54" xfId="0" applyFont="1" applyFill="1" applyBorder="1" applyAlignment="1">
      <alignment horizontal="left"/>
    </xf>
    <xf numFmtId="0" fontId="1" fillId="4" borderId="1" xfId="0" applyFont="1" applyFill="1" applyBorder="1" applyAlignment="1">
      <alignment horizontal="left"/>
    </xf>
    <xf numFmtId="0" fontId="21" fillId="5" borderId="0" xfId="0" applyFont="1" applyFill="1" applyBorder="1" applyAlignment="1">
      <alignment horizontal="left" vertical="center" wrapText="1"/>
    </xf>
    <xf numFmtId="0" fontId="7" fillId="7" borderId="0" xfId="0" applyFont="1" applyFill="1" applyAlignment="1">
      <alignment horizontal="left" vertical="top" wrapText="1"/>
    </xf>
    <xf numFmtId="0" fontId="8" fillId="6" borderId="0" xfId="0" applyFont="1" applyFill="1" applyAlignment="1">
      <alignment horizontal="left" vertical="center"/>
    </xf>
    <xf numFmtId="0" fontId="8" fillId="0" borderId="0" xfId="0" applyFont="1" applyFill="1" applyAlignment="1">
      <alignment horizontal="left" vertical="center"/>
    </xf>
    <xf numFmtId="0" fontId="8" fillId="6" borderId="23" xfId="0" applyFont="1" applyFill="1" applyBorder="1" applyAlignment="1">
      <alignment horizontal="center" vertical="center"/>
    </xf>
    <xf numFmtId="0" fontId="8" fillId="0" borderId="23" xfId="0" applyFont="1" applyFill="1" applyBorder="1" applyAlignment="1">
      <alignment horizontal="center" vertical="center"/>
    </xf>
    <xf numFmtId="1" fontId="1" fillId="2" borderId="2" xfId="0" applyNumberFormat="1" applyFont="1" applyFill="1" applyBorder="1" applyAlignment="1" applyProtection="1">
      <alignment horizontal="center" vertical="center"/>
      <protection locked="0"/>
    </xf>
    <xf numFmtId="1" fontId="1" fillId="2" borderId="3" xfId="0" applyNumberFormat="1" applyFont="1" applyFill="1" applyBorder="1" applyAlignment="1" applyProtection="1">
      <alignment horizontal="center" vertical="center"/>
      <protection locked="0"/>
    </xf>
    <xf numFmtId="0" fontId="1" fillId="4" borderId="29" xfId="0" applyFont="1" applyFill="1" applyBorder="1" applyAlignment="1">
      <alignment horizontal="left" vertical="center"/>
    </xf>
    <xf numFmtId="0" fontId="1" fillId="4" borderId="30" xfId="0" applyFont="1" applyFill="1" applyBorder="1" applyAlignment="1">
      <alignment horizontal="left" vertical="center"/>
    </xf>
    <xf numFmtId="0" fontId="7" fillId="7" borderId="0" xfId="0" applyFont="1" applyFill="1" applyAlignment="1">
      <alignment horizontal="left" wrapText="1"/>
    </xf>
    <xf numFmtId="0" fontId="4" fillId="4" borderId="0" xfId="0" applyFont="1" applyFill="1" applyAlignment="1">
      <alignment horizontal="left" vertical="top" wrapText="1"/>
    </xf>
    <xf numFmtId="0" fontId="16" fillId="4" borderId="15" xfId="0" applyFont="1" applyFill="1" applyBorder="1" applyAlignment="1">
      <alignment horizontal="left" vertical="center" wrapText="1"/>
    </xf>
    <xf numFmtId="1" fontId="18" fillId="4" borderId="53" xfId="2" applyNumberFormat="1" applyFont="1" applyFill="1" applyBorder="1" applyAlignment="1">
      <alignment horizontal="left" vertical="center" wrapText="1"/>
    </xf>
    <xf numFmtId="1" fontId="18" fillId="4" borderId="65" xfId="2" applyNumberFormat="1" applyFont="1" applyFill="1" applyBorder="1" applyAlignment="1">
      <alignment horizontal="left" vertical="center" wrapText="1"/>
    </xf>
    <xf numFmtId="0" fontId="16" fillId="4" borderId="57" xfId="0" applyFont="1" applyFill="1" applyBorder="1" applyAlignment="1">
      <alignment horizontal="left" vertical="center" wrapText="1"/>
    </xf>
    <xf numFmtId="0" fontId="16" fillId="4" borderId="58" xfId="0" applyFont="1" applyFill="1" applyBorder="1" applyAlignment="1">
      <alignment horizontal="left" vertical="center" wrapText="1"/>
    </xf>
    <xf numFmtId="0" fontId="19" fillId="2" borderId="59" xfId="0" applyFont="1" applyFill="1" applyBorder="1" applyAlignment="1" applyProtection="1">
      <alignment horizontal="left" vertical="center" wrapText="1"/>
      <protection locked="0"/>
    </xf>
    <xf numFmtId="0" fontId="19" fillId="2" borderId="58" xfId="0" applyFont="1" applyFill="1" applyBorder="1" applyAlignment="1" applyProtection="1">
      <alignment horizontal="left" vertical="center" wrapText="1"/>
      <protection locked="0"/>
    </xf>
    <xf numFmtId="0" fontId="19" fillId="2" borderId="61" xfId="0" applyFont="1" applyFill="1" applyBorder="1" applyAlignment="1" applyProtection="1">
      <alignment horizontal="left" vertical="center" wrapText="1"/>
      <protection locked="0"/>
    </xf>
    <xf numFmtId="0" fontId="19" fillId="4" borderId="0" xfId="0" applyFont="1" applyFill="1" applyAlignment="1">
      <alignment horizontal="left" vertical="top" wrapText="1"/>
    </xf>
    <xf numFmtId="0" fontId="21" fillId="5" borderId="0" xfId="0" applyFont="1" applyFill="1" applyBorder="1" applyAlignment="1">
      <alignment horizontal="left" vertical="top" wrapText="1"/>
    </xf>
    <xf numFmtId="1" fontId="1" fillId="2" borderId="1" xfId="0" applyNumberFormat="1" applyFont="1" applyFill="1" applyBorder="1" applyAlignment="1" applyProtection="1">
      <alignment horizontal="center" vertical="center" wrapText="1"/>
      <protection locked="0"/>
    </xf>
    <xf numFmtId="0" fontId="1" fillId="4" borderId="26" xfId="0" applyFont="1" applyFill="1" applyBorder="1" applyAlignment="1">
      <alignment horizontal="left"/>
    </xf>
    <xf numFmtId="0" fontId="1" fillId="4" borderId="27" xfId="0" applyFont="1" applyFill="1" applyBorder="1" applyAlignment="1">
      <alignment horizontal="left"/>
    </xf>
    <xf numFmtId="0" fontId="4" fillId="7" borderId="0" xfId="0" applyFont="1" applyFill="1" applyAlignment="1">
      <alignment horizontal="left" vertical="top" wrapText="1"/>
    </xf>
    <xf numFmtId="0" fontId="5" fillId="7" borderId="0" xfId="0" applyFont="1" applyFill="1" applyAlignment="1">
      <alignment horizontal="right" wrapText="1"/>
    </xf>
    <xf numFmtId="0" fontId="5" fillId="7" borderId="87" xfId="0" applyFont="1" applyFill="1" applyBorder="1" applyAlignment="1">
      <alignment horizontal="right" wrapText="1"/>
    </xf>
    <xf numFmtId="0" fontId="5" fillId="5" borderId="0" xfId="0" applyFont="1" applyFill="1" applyAlignment="1">
      <alignment horizontal="right" wrapText="1"/>
    </xf>
    <xf numFmtId="0" fontId="5" fillId="5" borderId="87" xfId="0" applyFont="1" applyFill="1" applyBorder="1" applyAlignment="1">
      <alignment horizontal="right" wrapText="1"/>
    </xf>
    <xf numFmtId="0" fontId="3" fillId="4" borderId="15" xfId="0" applyFont="1" applyFill="1" applyBorder="1" applyAlignment="1">
      <alignment horizontal="left" vertical="center" wrapText="1"/>
    </xf>
    <xf numFmtId="0" fontId="3" fillId="4" borderId="19" xfId="0" applyFont="1" applyFill="1" applyBorder="1" applyAlignment="1">
      <alignment horizontal="left" vertical="center"/>
    </xf>
    <xf numFmtId="0" fontId="3" fillId="4" borderId="17" xfId="0" applyFont="1" applyFill="1" applyBorder="1" applyAlignment="1">
      <alignment horizontal="left" vertical="center" wrapText="1"/>
    </xf>
    <xf numFmtId="0" fontId="3" fillId="4" borderId="20" xfId="0" applyFont="1" applyFill="1" applyBorder="1" applyAlignment="1">
      <alignment horizontal="left" vertical="center"/>
    </xf>
    <xf numFmtId="0" fontId="1" fillId="2" borderId="31" xfId="0" applyFont="1" applyFill="1" applyBorder="1" applyAlignment="1" applyProtection="1">
      <alignment horizontal="center" vertical="center"/>
      <protection locked="0"/>
    </xf>
    <xf numFmtId="0" fontId="1" fillId="2" borderId="32" xfId="0" applyFont="1" applyFill="1" applyBorder="1" applyAlignment="1" applyProtection="1">
      <alignment horizontal="center" vertical="center"/>
      <protection locked="0"/>
    </xf>
    <xf numFmtId="0" fontId="1" fillId="2" borderId="33" xfId="0" applyFont="1" applyFill="1" applyBorder="1" applyAlignment="1" applyProtection="1">
      <alignment horizontal="center" vertical="center"/>
      <protection locked="0"/>
    </xf>
    <xf numFmtId="0" fontId="5" fillId="5" borderId="0" xfId="0" applyFont="1" applyFill="1" applyAlignment="1">
      <alignment horizontal="right" vertical="center" wrapText="1"/>
    </xf>
    <xf numFmtId="0" fontId="5" fillId="5" borderId="87" xfId="0" applyFont="1" applyFill="1" applyBorder="1" applyAlignment="1">
      <alignment horizontal="right" vertical="center" wrapText="1"/>
    </xf>
    <xf numFmtId="1" fontId="18" fillId="4" borderId="6" xfId="2" applyNumberFormat="1" applyFont="1" applyFill="1" applyBorder="1" applyAlignment="1">
      <alignment horizontal="left" vertical="center" wrapText="1"/>
    </xf>
    <xf numFmtId="1" fontId="18" fillId="4" borderId="3" xfId="2" applyNumberFormat="1" applyFont="1" applyFill="1" applyBorder="1" applyAlignment="1">
      <alignment horizontal="left" vertical="center" wrapText="1"/>
    </xf>
    <xf numFmtId="0" fontId="19" fillId="2" borderId="64" xfId="0" applyFont="1" applyFill="1" applyBorder="1" applyAlignment="1" applyProtection="1">
      <alignment horizontal="left" vertical="center" wrapText="1"/>
      <protection locked="0"/>
    </xf>
    <xf numFmtId="0" fontId="19" fillId="2" borderId="53" xfId="0" applyFont="1" applyFill="1" applyBorder="1" applyAlignment="1" applyProtection="1">
      <alignment horizontal="left" vertical="center" wrapText="1"/>
      <protection locked="0"/>
    </xf>
    <xf numFmtId="0" fontId="19" fillId="2" borderId="20" xfId="0" applyFont="1" applyFill="1" applyBorder="1" applyAlignment="1" applyProtection="1">
      <alignment horizontal="left" vertical="center" wrapText="1"/>
      <protection locked="0"/>
    </xf>
    <xf numFmtId="0" fontId="3" fillId="4" borderId="57" xfId="0" applyFont="1" applyFill="1" applyBorder="1" applyAlignment="1">
      <alignment horizontal="left" vertical="center"/>
    </xf>
    <xf numFmtId="0" fontId="3" fillId="4" borderId="58" xfId="0" applyFont="1" applyFill="1" applyBorder="1" applyAlignment="1">
      <alignment horizontal="left" vertical="center"/>
    </xf>
    <xf numFmtId="0" fontId="3" fillId="4" borderId="60" xfId="0" applyFont="1" applyFill="1" applyBorder="1" applyAlignment="1">
      <alignment horizontal="left" vertical="center"/>
    </xf>
    <xf numFmtId="0" fontId="1" fillId="2" borderId="2" xfId="0" applyFont="1" applyFill="1" applyBorder="1" applyAlignment="1" applyProtection="1">
      <alignment horizontal="left"/>
      <protection locked="0"/>
    </xf>
    <xf numFmtId="0" fontId="1" fillId="2" borderId="3" xfId="0" applyFont="1" applyFill="1" applyBorder="1" applyAlignment="1" applyProtection="1">
      <alignment horizontal="left"/>
      <protection locked="0"/>
    </xf>
    <xf numFmtId="0" fontId="1" fillId="2" borderId="64" xfId="0" applyFont="1" applyFill="1" applyBorder="1" applyAlignment="1" applyProtection="1">
      <alignment horizontal="left"/>
      <protection locked="0"/>
    </xf>
    <xf numFmtId="0" fontId="1" fillId="2" borderId="65" xfId="0" applyFont="1" applyFill="1" applyBorder="1" applyAlignment="1" applyProtection="1">
      <alignment horizontal="left"/>
      <protection locked="0"/>
    </xf>
    <xf numFmtId="0" fontId="3" fillId="4" borderId="83" xfId="0" applyFont="1" applyFill="1" applyBorder="1" applyAlignment="1">
      <alignment horizontal="center" vertical="center" wrapText="1"/>
    </xf>
    <xf numFmtId="0" fontId="3" fillId="4" borderId="84" xfId="0" applyFont="1" applyFill="1" applyBorder="1" applyAlignment="1">
      <alignment horizontal="center" vertical="center" wrapText="1"/>
    </xf>
    <xf numFmtId="3" fontId="0" fillId="4" borderId="70" xfId="0" applyNumberFormat="1" applyFont="1" applyFill="1" applyBorder="1" applyAlignment="1">
      <alignment horizontal="right"/>
    </xf>
    <xf numFmtId="0" fontId="3" fillId="4" borderId="70" xfId="0" applyFont="1" applyFill="1" applyBorder="1" applyAlignment="1">
      <alignment horizontal="left" vertical="center" wrapText="1"/>
    </xf>
    <xf numFmtId="0" fontId="12" fillId="4" borderId="73" xfId="0" applyFont="1" applyFill="1" applyBorder="1" applyAlignment="1">
      <alignment horizontal="right" vertical="center"/>
    </xf>
    <xf numFmtId="3" fontId="12" fillId="4" borderId="70" xfId="0" applyNumberFormat="1" applyFont="1" applyFill="1" applyBorder="1" applyAlignment="1">
      <alignment horizontal="right" vertical="center"/>
    </xf>
    <xf numFmtId="0" fontId="22" fillId="10" borderId="0" xfId="0" applyFont="1" applyFill="1" applyBorder="1" applyAlignment="1">
      <alignment horizontal="left" wrapText="1"/>
    </xf>
    <xf numFmtId="0" fontId="22" fillId="10" borderId="0" xfId="0" applyFont="1" applyFill="1" applyBorder="1" applyAlignment="1">
      <alignment horizontal="left"/>
    </xf>
    <xf numFmtId="3" fontId="12" fillId="4" borderId="70" xfId="0" applyNumberFormat="1" applyFont="1" applyFill="1" applyBorder="1" applyAlignment="1">
      <alignment horizontal="right"/>
    </xf>
    <xf numFmtId="3" fontId="0" fillId="4" borderId="70" xfId="0" applyNumberFormat="1" applyFill="1" applyBorder="1" applyAlignment="1">
      <alignment horizontal="right"/>
    </xf>
    <xf numFmtId="0" fontId="3" fillId="4" borderId="4" xfId="0" applyFont="1" applyFill="1" applyBorder="1" applyAlignment="1">
      <alignment horizontal="left" vertical="center"/>
    </xf>
    <xf numFmtId="0" fontId="3" fillId="4" borderId="5" xfId="0" applyFont="1" applyFill="1" applyBorder="1" applyAlignment="1">
      <alignment horizontal="left" vertical="center"/>
    </xf>
    <xf numFmtId="0" fontId="3" fillId="4" borderId="4"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4" borderId="5" xfId="0" applyFont="1" applyFill="1" applyBorder="1" applyAlignment="1">
      <alignment horizontal="left" vertical="center" wrapText="1"/>
    </xf>
    <xf numFmtId="1" fontId="1" fillId="4" borderId="2" xfId="2" applyNumberFormat="1" applyFont="1" applyFill="1" applyBorder="1" applyAlignment="1">
      <alignment horizontal="left" vertical="center" wrapText="1"/>
    </xf>
    <xf numFmtId="1" fontId="1" fillId="4" borderId="6" xfId="2" applyNumberFormat="1" applyFont="1" applyFill="1" applyBorder="1" applyAlignment="1">
      <alignment horizontal="left" vertical="center" wrapText="1"/>
    </xf>
    <xf numFmtId="1" fontId="1" fillId="4" borderId="3" xfId="2" applyNumberFormat="1" applyFont="1" applyFill="1" applyBorder="1" applyAlignment="1">
      <alignment horizontal="left" vertical="center" wrapText="1"/>
    </xf>
    <xf numFmtId="0" fontId="1" fillId="4" borderId="4" xfId="0" applyFont="1" applyFill="1" applyBorder="1" applyAlignment="1">
      <alignment horizontal="center" vertical="center"/>
    </xf>
    <xf numFmtId="0" fontId="1" fillId="4" borderId="18" xfId="0" applyFont="1" applyFill="1" applyBorder="1" applyAlignment="1">
      <alignment horizontal="center" vertical="center"/>
    </xf>
    <xf numFmtId="0" fontId="1" fillId="4" borderId="5" xfId="0" applyFont="1" applyFill="1" applyBorder="1" applyAlignment="1">
      <alignment horizontal="center" vertical="center"/>
    </xf>
    <xf numFmtId="9" fontId="1" fillId="3" borderId="4" xfId="2" applyFont="1" applyFill="1" applyBorder="1" applyAlignment="1">
      <alignment horizontal="center" vertical="center"/>
    </xf>
    <xf numFmtId="9" fontId="1" fillId="3" borderId="18" xfId="2" applyFont="1" applyFill="1" applyBorder="1" applyAlignment="1">
      <alignment horizontal="center" vertical="center"/>
    </xf>
    <xf numFmtId="9" fontId="1" fillId="3" borderId="5" xfId="2" applyFont="1" applyFill="1" applyBorder="1" applyAlignment="1">
      <alignment horizontal="center" vertical="center"/>
    </xf>
    <xf numFmtId="1" fontId="1" fillId="3" borderId="4" xfId="0" applyNumberFormat="1" applyFont="1" applyFill="1" applyBorder="1" applyAlignment="1">
      <alignment horizontal="center" vertical="center"/>
    </xf>
    <xf numFmtId="1" fontId="1" fillId="3" borderId="18" xfId="0" applyNumberFormat="1" applyFont="1" applyFill="1" applyBorder="1" applyAlignment="1">
      <alignment horizontal="center" vertical="center"/>
    </xf>
    <xf numFmtId="1" fontId="1" fillId="3" borderId="5" xfId="0" applyNumberFormat="1" applyFont="1" applyFill="1" applyBorder="1" applyAlignment="1">
      <alignment horizontal="center" vertical="center"/>
    </xf>
    <xf numFmtId="0" fontId="3" fillId="4" borderId="2" xfId="0" applyFont="1" applyFill="1" applyBorder="1" applyAlignment="1">
      <alignment horizontal="center"/>
    </xf>
    <xf numFmtId="0" fontId="3" fillId="4" borderId="3" xfId="0" applyFont="1" applyFill="1" applyBorder="1" applyAlignment="1">
      <alignment horizontal="center"/>
    </xf>
    <xf numFmtId="0" fontId="3" fillId="4" borderId="1" xfId="0" applyFont="1" applyFill="1" applyBorder="1" applyAlignment="1">
      <alignment horizontal="left"/>
    </xf>
    <xf numFmtId="0" fontId="3" fillId="4" borderId="2" xfId="0" applyFont="1" applyFill="1" applyBorder="1" applyAlignment="1">
      <alignment horizontal="left"/>
    </xf>
    <xf numFmtId="0" fontId="3" fillId="4" borderId="3" xfId="0" applyFont="1" applyFill="1" applyBorder="1" applyAlignment="1">
      <alignment horizontal="left"/>
    </xf>
    <xf numFmtId="0" fontId="1" fillId="4" borderId="1" xfId="0" applyFont="1" applyFill="1" applyBorder="1" applyAlignment="1">
      <alignment horizontal="left" vertical="top" wrapText="1"/>
    </xf>
    <xf numFmtId="0" fontId="3" fillId="4" borderId="4" xfId="0" applyFont="1" applyFill="1" applyBorder="1" applyAlignment="1">
      <alignment horizontal="center" vertical="center" wrapText="1"/>
    </xf>
    <xf numFmtId="0" fontId="3" fillId="4" borderId="18" xfId="0" applyFont="1" applyFill="1" applyBorder="1" applyAlignment="1">
      <alignment horizontal="center" vertical="center"/>
    </xf>
    <xf numFmtId="0" fontId="3" fillId="4" borderId="18" xfId="0" applyFont="1" applyFill="1" applyBorder="1" applyAlignment="1">
      <alignment horizontal="center" vertical="center" wrapText="1"/>
    </xf>
    <xf numFmtId="0" fontId="3" fillId="4" borderId="0" xfId="0" applyFont="1" applyFill="1" applyBorder="1" applyAlignment="1">
      <alignment horizontal="center"/>
    </xf>
    <xf numFmtId="0" fontId="3" fillId="4" borderId="5" xfId="0" applyFont="1" applyFill="1" applyBorder="1" applyAlignment="1">
      <alignment horizontal="center" vertical="center" wrapText="1"/>
    </xf>
    <xf numFmtId="0" fontId="3" fillId="4" borderId="42" xfId="0" applyFont="1" applyFill="1" applyBorder="1" applyAlignment="1">
      <alignment horizontal="left" vertical="center"/>
    </xf>
    <xf numFmtId="0" fontId="3" fillId="4" borderId="41" xfId="0" applyFont="1" applyFill="1" applyBorder="1" applyAlignment="1">
      <alignment horizontal="left" vertical="center"/>
    </xf>
    <xf numFmtId="0" fontId="3" fillId="4" borderId="10" xfId="0" applyFont="1" applyFill="1" applyBorder="1" applyAlignment="1">
      <alignment horizontal="left" vertical="center"/>
    </xf>
    <xf numFmtId="0" fontId="3" fillId="4" borderId="43" xfId="0" applyFont="1" applyFill="1" applyBorder="1" applyAlignment="1">
      <alignment horizontal="left" vertical="center"/>
    </xf>
    <xf numFmtId="0" fontId="3" fillId="4" borderId="7" xfId="0" applyFont="1" applyFill="1" applyBorder="1" applyAlignment="1">
      <alignment horizontal="left" vertical="center"/>
    </xf>
    <xf numFmtId="0" fontId="3" fillId="4" borderId="44" xfId="0" applyFont="1" applyFill="1" applyBorder="1" applyAlignment="1">
      <alignment horizontal="left" vertical="center"/>
    </xf>
    <xf numFmtId="0" fontId="3" fillId="4" borderId="3" xfId="0" applyFont="1" applyFill="1" applyBorder="1" applyAlignment="1">
      <alignment horizontal="center" vertical="center"/>
    </xf>
    <xf numFmtId="0" fontId="3" fillId="4" borderId="1" xfId="0" applyFont="1" applyFill="1" applyBorder="1" applyAlignment="1">
      <alignment horizontal="center" vertical="center"/>
    </xf>
    <xf numFmtId="0" fontId="1" fillId="4" borderId="45" xfId="0" applyFont="1" applyFill="1" applyBorder="1" applyAlignment="1">
      <alignment horizontal="left" vertical="center"/>
    </xf>
    <xf numFmtId="0" fontId="1" fillId="4" borderId="47" xfId="0" applyFont="1" applyFill="1" applyBorder="1" applyAlignment="1">
      <alignment horizontal="left" vertical="center"/>
    </xf>
    <xf numFmtId="0" fontId="1" fillId="4" borderId="46" xfId="0" applyFont="1" applyFill="1" applyBorder="1" applyAlignment="1">
      <alignment horizontal="left" vertical="center"/>
    </xf>
    <xf numFmtId="0" fontId="1" fillId="4" borderId="48" xfId="0" applyFont="1" applyFill="1" applyBorder="1" applyAlignment="1">
      <alignment horizontal="left" vertical="center"/>
    </xf>
    <xf numFmtId="0" fontId="1" fillId="4" borderId="51" xfId="0" applyFont="1" applyFill="1" applyBorder="1" applyAlignment="1">
      <alignment horizontal="left" vertical="center"/>
    </xf>
    <xf numFmtId="0" fontId="1" fillId="4" borderId="49" xfId="0" applyFont="1" applyFill="1" applyBorder="1" applyAlignment="1">
      <alignment horizontal="left" vertical="center"/>
    </xf>
    <xf numFmtId="0" fontId="16" fillId="4" borderId="7" xfId="0" applyFont="1" applyFill="1" applyBorder="1" applyAlignment="1">
      <alignment horizontal="left" vertical="center"/>
    </xf>
    <xf numFmtId="0" fontId="8" fillId="6" borderId="23" xfId="0" applyFont="1" applyFill="1" applyBorder="1" applyAlignment="1">
      <alignment horizontal="left" vertical="center"/>
    </xf>
    <xf numFmtId="0" fontId="19" fillId="4" borderId="0" xfId="0" applyFont="1" applyFill="1" applyAlignment="1">
      <alignment vertical="top" wrapText="1"/>
    </xf>
    <xf numFmtId="0" fontId="15" fillId="4" borderId="48" xfId="0" applyFont="1" applyFill="1" applyBorder="1" applyAlignment="1">
      <alignment horizontal="left" vertical="center"/>
    </xf>
    <xf numFmtId="0" fontId="15" fillId="4" borderId="51" xfId="0" applyFont="1" applyFill="1" applyBorder="1" applyAlignment="1">
      <alignment horizontal="left" vertical="center"/>
    </xf>
    <xf numFmtId="0" fontId="15" fillId="4" borderId="49" xfId="0" applyFont="1" applyFill="1" applyBorder="1" applyAlignment="1">
      <alignment horizontal="left" vertical="center"/>
    </xf>
    <xf numFmtId="0" fontId="1" fillId="4" borderId="2" xfId="0" applyFont="1" applyFill="1" applyBorder="1" applyAlignment="1">
      <alignment horizontal="left" vertical="center"/>
    </xf>
    <xf numFmtId="0" fontId="1" fillId="4" borderId="6" xfId="0" applyFont="1" applyFill="1" applyBorder="1" applyAlignment="1">
      <alignment horizontal="left" vertical="center"/>
    </xf>
    <xf numFmtId="0" fontId="1" fillId="4" borderId="3" xfId="0" applyFont="1" applyFill="1" applyBorder="1" applyAlignment="1">
      <alignment horizontal="left" vertical="center"/>
    </xf>
    <xf numFmtId="0" fontId="15" fillId="4" borderId="2" xfId="0" applyFont="1" applyFill="1" applyBorder="1" applyAlignment="1">
      <alignment horizontal="left" vertical="center"/>
    </xf>
    <xf numFmtId="0" fontId="15" fillId="4" borderId="6" xfId="0" applyFont="1" applyFill="1" applyBorder="1" applyAlignment="1">
      <alignment horizontal="left" vertical="center"/>
    </xf>
    <xf numFmtId="0" fontId="15" fillId="4" borderId="3" xfId="0" applyFont="1" applyFill="1" applyBorder="1" applyAlignment="1">
      <alignment horizontal="left" vertical="center"/>
    </xf>
    <xf numFmtId="0" fontId="1" fillId="4" borderId="2" xfId="0" quotePrefix="1" applyFont="1" applyFill="1" applyBorder="1" applyAlignment="1">
      <alignment horizontal="left" vertical="center"/>
    </xf>
    <xf numFmtId="0" fontId="1" fillId="4" borderId="6" xfId="0" quotePrefix="1" applyFont="1" applyFill="1" applyBorder="1" applyAlignment="1">
      <alignment horizontal="left" vertical="center"/>
    </xf>
    <xf numFmtId="0" fontId="1" fillId="4" borderId="3" xfId="0" quotePrefix="1" applyFont="1" applyFill="1" applyBorder="1" applyAlignment="1">
      <alignment horizontal="left" vertical="center"/>
    </xf>
    <xf numFmtId="0" fontId="15" fillId="4" borderId="45" xfId="0" applyFont="1" applyFill="1" applyBorder="1" applyAlignment="1">
      <alignment horizontal="left" vertical="center"/>
    </xf>
    <xf numFmtId="0" fontId="15" fillId="4" borderId="47" xfId="0" applyFont="1" applyFill="1" applyBorder="1" applyAlignment="1">
      <alignment horizontal="left" vertical="center"/>
    </xf>
    <xf numFmtId="0" fontId="15" fillId="4" borderId="46" xfId="0" applyFont="1" applyFill="1" applyBorder="1" applyAlignment="1">
      <alignment horizontal="left" vertical="center"/>
    </xf>
    <xf numFmtId="0" fontId="3" fillId="4" borderId="1" xfId="0" applyFont="1" applyFill="1" applyBorder="1" applyAlignment="1">
      <alignment horizontal="left" vertical="center"/>
    </xf>
    <xf numFmtId="0" fontId="3" fillId="4" borderId="2" xfId="0" applyFont="1" applyFill="1" applyBorder="1" applyAlignment="1">
      <alignment horizontal="left" vertical="center"/>
    </xf>
    <xf numFmtId="0" fontId="3" fillId="4" borderId="2" xfId="0" applyFont="1" applyFill="1" applyBorder="1" applyAlignment="1">
      <alignment horizontal="center" vertical="center"/>
    </xf>
    <xf numFmtId="0" fontId="3" fillId="4" borderId="1" xfId="0" applyFont="1" applyFill="1" applyBorder="1" applyAlignment="1">
      <alignment horizontal="center"/>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2" xfId="0" applyFont="1" applyFill="1" applyBorder="1" applyAlignment="1">
      <alignment horizontal="center" vertical="top" wrapText="1"/>
    </xf>
    <xf numFmtId="0" fontId="3" fillId="4" borderId="6" xfId="0" applyFont="1" applyFill="1" applyBorder="1" applyAlignment="1">
      <alignment horizontal="center" vertical="top" wrapText="1"/>
    </xf>
    <xf numFmtId="0" fontId="3" fillId="4" borderId="3" xfId="0" applyFont="1" applyFill="1" applyBorder="1" applyAlignment="1">
      <alignment horizontal="center" vertical="top" wrapText="1"/>
    </xf>
    <xf numFmtId="0" fontId="4" fillId="4" borderId="0" xfId="0" applyFont="1" applyFill="1" applyAlignment="1">
      <alignment horizontal="left" vertical="center" wrapText="1"/>
    </xf>
    <xf numFmtId="0" fontId="3" fillId="4" borderId="18" xfId="0" applyFont="1" applyFill="1" applyBorder="1" applyAlignment="1">
      <alignment horizontal="left" vertical="center"/>
    </xf>
    <xf numFmtId="0" fontId="3" fillId="4" borderId="6" xfId="0" applyFont="1" applyFill="1" applyBorder="1" applyAlignment="1">
      <alignment horizontal="center"/>
    </xf>
    <xf numFmtId="0" fontId="1" fillId="3" borderId="4" xfId="0" applyFont="1" applyFill="1" applyBorder="1" applyAlignment="1">
      <alignment horizontal="center" vertical="center"/>
    </xf>
    <xf numFmtId="0" fontId="1" fillId="3" borderId="18" xfId="0" applyFont="1" applyFill="1" applyBorder="1" applyAlignment="1">
      <alignment horizontal="center" vertical="center"/>
    </xf>
    <xf numFmtId="0" fontId="1" fillId="3" borderId="5" xfId="0" applyFont="1" applyFill="1" applyBorder="1" applyAlignment="1">
      <alignment horizontal="center" vertical="center"/>
    </xf>
    <xf numFmtId="0" fontId="3" fillId="4" borderId="4" xfId="0" applyFont="1" applyFill="1" applyBorder="1" applyAlignment="1">
      <alignment horizontal="center" vertical="center"/>
    </xf>
    <xf numFmtId="1" fontId="1" fillId="3" borderId="1" xfId="0" applyNumberFormat="1" applyFont="1" applyFill="1" applyBorder="1" applyAlignment="1">
      <alignment horizontal="center" vertical="center"/>
    </xf>
    <xf numFmtId="0" fontId="1" fillId="3" borderId="1" xfId="0" applyFont="1" applyFill="1" applyBorder="1" applyAlignment="1">
      <alignment horizontal="center" vertical="center"/>
    </xf>
    <xf numFmtId="1" fontId="1" fillId="4" borderId="7" xfId="2" applyNumberFormat="1" applyFont="1" applyFill="1" applyBorder="1" applyAlignment="1">
      <alignment horizontal="left" vertical="center" wrapText="1"/>
    </xf>
    <xf numFmtId="1" fontId="1" fillId="4" borderId="44" xfId="2" applyNumberFormat="1" applyFont="1" applyFill="1" applyBorder="1" applyAlignment="1">
      <alignment horizontal="left" vertical="center" wrapText="1"/>
    </xf>
    <xf numFmtId="0" fontId="3" fillId="4" borderId="1" xfId="0" applyFont="1" applyFill="1" applyBorder="1" applyAlignment="1">
      <alignment horizontal="left" vertical="center" wrapText="1"/>
    </xf>
    <xf numFmtId="0" fontId="3" fillId="4" borderId="0" xfId="0" applyFont="1" applyFill="1" applyBorder="1" applyAlignment="1">
      <alignment horizontal="left"/>
    </xf>
    <xf numFmtId="1" fontId="1" fillId="3" borderId="42" xfId="0" applyNumberFormat="1" applyFont="1" applyFill="1" applyBorder="1" applyAlignment="1">
      <alignment horizontal="center" vertical="center" wrapText="1"/>
    </xf>
    <xf numFmtId="1" fontId="1" fillId="3" borderId="10" xfId="0" applyNumberFormat="1" applyFont="1" applyFill="1" applyBorder="1" applyAlignment="1">
      <alignment horizontal="center" vertical="center" wrapText="1"/>
    </xf>
    <xf numFmtId="1" fontId="1" fillId="3" borderId="43" xfId="0" applyNumberFormat="1" applyFont="1" applyFill="1" applyBorder="1" applyAlignment="1">
      <alignment horizontal="center" vertical="center" wrapText="1"/>
    </xf>
    <xf numFmtId="1" fontId="1" fillId="3" borderId="44" xfId="0" applyNumberFormat="1" applyFont="1" applyFill="1" applyBorder="1" applyAlignment="1">
      <alignment horizontal="center" vertical="center" wrapText="1"/>
    </xf>
    <xf numFmtId="1" fontId="1" fillId="4" borderId="4" xfId="0" applyNumberFormat="1" applyFont="1" applyFill="1" applyBorder="1" applyAlignment="1">
      <alignment horizontal="center" vertical="center"/>
    </xf>
    <xf numFmtId="1" fontId="1" fillId="4" borderId="5" xfId="0" applyNumberFormat="1" applyFont="1" applyFill="1" applyBorder="1" applyAlignment="1">
      <alignment horizontal="center" vertical="center"/>
    </xf>
    <xf numFmtId="0" fontId="1" fillId="4" borderId="43" xfId="0" applyFont="1" applyFill="1" applyBorder="1" applyAlignment="1">
      <alignment horizontal="left"/>
    </xf>
    <xf numFmtId="0" fontId="1" fillId="4" borderId="44" xfId="0" applyFont="1" applyFill="1" applyBorder="1" applyAlignment="1">
      <alignment horizontal="left"/>
    </xf>
    <xf numFmtId="0" fontId="3" fillId="4" borderId="0" xfId="0" applyFont="1" applyFill="1" applyAlignment="1">
      <alignment horizontal="right" vertical="center"/>
    </xf>
    <xf numFmtId="0" fontId="3" fillId="4" borderId="9" xfId="0" applyFont="1" applyFill="1" applyBorder="1" applyAlignment="1">
      <alignment horizontal="right" vertical="center"/>
    </xf>
    <xf numFmtId="0" fontId="3" fillId="4" borderId="3" xfId="0" applyFont="1" applyFill="1" applyBorder="1" applyAlignment="1">
      <alignment horizontal="left" vertical="center"/>
    </xf>
  </cellXfs>
  <cellStyles count="4">
    <cellStyle name="Komma" xfId="3" builtinId="3"/>
    <cellStyle name="Normal" xfId="0" builtinId="0"/>
    <cellStyle name="Normal 2" xfId="1" xr:uid="{731FB681-1EF5-4FE5-8464-9C1701997211}"/>
    <cellStyle name="Prosent" xfId="2" builtinId="5"/>
  </cellStyles>
  <dxfs count="0"/>
  <tableStyles count="0" defaultTableStyle="TableStyleMedium2" defaultPivotStyle="PivotStyleLight16"/>
  <colors>
    <mruColors>
      <color rgb="FFFF5050"/>
      <color rgb="FFFF7C80"/>
      <color rgb="FF78A200"/>
      <color rgb="FF99CC0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Resultat!$C$30:$D$30</c:f>
              <c:strCache>
                <c:ptCount val="2"/>
                <c:pt idx="0">
                  <c:v>Bygningsmasse og uteområder</c:v>
                </c:pt>
              </c:strCache>
            </c:strRef>
          </c:tx>
          <c:spPr>
            <a:solidFill>
              <a:schemeClr val="accent5">
                <a:lumMod val="75000"/>
              </a:schemeClr>
            </a:solidFill>
            <a:ln>
              <a:noFill/>
            </a:ln>
            <a:effectLst/>
          </c:spPr>
          <c:invertIfNegative val="0"/>
          <c:cat>
            <c:strRef>
              <c:f>Resultat!$E$29:$F$29</c:f>
              <c:strCache>
                <c:ptCount val="2"/>
                <c:pt idx="0">
                  <c:v>Hovedscenario</c:v>
                </c:pt>
                <c:pt idx="1">
                  <c:v>Scenario med tiltak</c:v>
                </c:pt>
              </c:strCache>
            </c:strRef>
          </c:cat>
          <c:val>
            <c:numRef>
              <c:f>Resultat!$E$30:$F$30</c:f>
              <c:numCache>
                <c:formatCode>#,##0</c:formatCode>
                <c:ptCount val="2"/>
                <c:pt idx="0">
                  <c:v>0</c:v>
                </c:pt>
                <c:pt idx="1">
                  <c:v>0</c:v>
                </c:pt>
              </c:numCache>
            </c:numRef>
          </c:val>
          <c:extLst>
            <c:ext xmlns:c16="http://schemas.microsoft.com/office/drawing/2014/chart" uri="{C3380CC4-5D6E-409C-BE32-E72D297353CC}">
              <c16:uniqueId val="{00000000-6E55-4647-AC25-001CFF6F71E9}"/>
            </c:ext>
          </c:extLst>
        </c:ser>
        <c:ser>
          <c:idx val="1"/>
          <c:order val="1"/>
          <c:tx>
            <c:strRef>
              <c:f>Resultat!$C$31:$D$31</c:f>
              <c:strCache>
                <c:ptCount val="2"/>
                <c:pt idx="0">
                  <c:v>Byggeplass</c:v>
                </c:pt>
              </c:strCache>
            </c:strRef>
          </c:tx>
          <c:spPr>
            <a:solidFill>
              <a:srgbClr val="00B0F0"/>
            </a:solidFill>
            <a:ln>
              <a:noFill/>
            </a:ln>
            <a:effectLst/>
          </c:spPr>
          <c:invertIfNegative val="0"/>
          <c:cat>
            <c:strRef>
              <c:f>Resultat!$E$29:$F$29</c:f>
              <c:strCache>
                <c:ptCount val="2"/>
                <c:pt idx="0">
                  <c:v>Hovedscenario</c:v>
                </c:pt>
                <c:pt idx="1">
                  <c:v>Scenario med tiltak</c:v>
                </c:pt>
              </c:strCache>
            </c:strRef>
          </c:cat>
          <c:val>
            <c:numRef>
              <c:f>Resultat!$E$31:$F$31</c:f>
              <c:numCache>
                <c:formatCode>#,##0</c:formatCode>
                <c:ptCount val="2"/>
                <c:pt idx="0">
                  <c:v>0</c:v>
                </c:pt>
                <c:pt idx="1">
                  <c:v>0</c:v>
                </c:pt>
              </c:numCache>
            </c:numRef>
          </c:val>
          <c:extLst>
            <c:ext xmlns:c16="http://schemas.microsoft.com/office/drawing/2014/chart" uri="{C3380CC4-5D6E-409C-BE32-E72D297353CC}">
              <c16:uniqueId val="{00000001-6E55-4647-AC25-001CFF6F71E9}"/>
            </c:ext>
          </c:extLst>
        </c:ser>
        <c:ser>
          <c:idx val="2"/>
          <c:order val="2"/>
          <c:tx>
            <c:strRef>
              <c:f>Resultat!$C$32:$D$32</c:f>
              <c:strCache>
                <c:ptCount val="2"/>
                <c:pt idx="0">
                  <c:v>Energibruk</c:v>
                </c:pt>
              </c:strCache>
            </c:strRef>
          </c:tx>
          <c:spPr>
            <a:solidFill>
              <a:srgbClr val="99CC00"/>
            </a:solidFill>
            <a:ln>
              <a:noFill/>
            </a:ln>
            <a:effectLst/>
          </c:spPr>
          <c:invertIfNegative val="0"/>
          <c:cat>
            <c:strRef>
              <c:f>Resultat!$E$29:$F$29</c:f>
              <c:strCache>
                <c:ptCount val="2"/>
                <c:pt idx="0">
                  <c:v>Hovedscenario</c:v>
                </c:pt>
                <c:pt idx="1">
                  <c:v>Scenario med tiltak</c:v>
                </c:pt>
              </c:strCache>
            </c:strRef>
          </c:cat>
          <c:val>
            <c:numRef>
              <c:f>Resultat!$E$32:$F$32</c:f>
              <c:numCache>
                <c:formatCode>#,##0</c:formatCode>
                <c:ptCount val="2"/>
                <c:pt idx="0">
                  <c:v>0</c:v>
                </c:pt>
                <c:pt idx="1">
                  <c:v>0</c:v>
                </c:pt>
              </c:numCache>
            </c:numRef>
          </c:val>
          <c:extLst>
            <c:ext xmlns:c16="http://schemas.microsoft.com/office/drawing/2014/chart" uri="{C3380CC4-5D6E-409C-BE32-E72D297353CC}">
              <c16:uniqueId val="{00000003-6E55-4647-AC25-001CFF6F71E9}"/>
            </c:ext>
          </c:extLst>
        </c:ser>
        <c:ser>
          <c:idx val="3"/>
          <c:order val="3"/>
          <c:tx>
            <c:strRef>
              <c:f>Resultat!$C$33:$D$33</c:f>
              <c:strCache>
                <c:ptCount val="2"/>
                <c:pt idx="0">
                  <c:v>Arealbruksendring</c:v>
                </c:pt>
              </c:strCache>
            </c:strRef>
          </c:tx>
          <c:spPr>
            <a:solidFill>
              <a:srgbClr val="78A200"/>
            </a:solidFill>
            <a:ln>
              <a:noFill/>
            </a:ln>
            <a:effectLst/>
          </c:spPr>
          <c:invertIfNegative val="0"/>
          <c:cat>
            <c:strRef>
              <c:f>Resultat!$E$29:$F$29</c:f>
              <c:strCache>
                <c:ptCount val="2"/>
                <c:pt idx="0">
                  <c:v>Hovedscenario</c:v>
                </c:pt>
                <c:pt idx="1">
                  <c:v>Scenario med tiltak</c:v>
                </c:pt>
              </c:strCache>
            </c:strRef>
          </c:cat>
          <c:val>
            <c:numRef>
              <c:f>Resultat!$E$33:$F$33</c:f>
              <c:numCache>
                <c:formatCode>#,##0</c:formatCode>
                <c:ptCount val="2"/>
                <c:pt idx="0">
                  <c:v>0</c:v>
                </c:pt>
                <c:pt idx="1">
                  <c:v>0</c:v>
                </c:pt>
              </c:numCache>
            </c:numRef>
          </c:val>
          <c:extLst>
            <c:ext xmlns:c16="http://schemas.microsoft.com/office/drawing/2014/chart" uri="{C3380CC4-5D6E-409C-BE32-E72D297353CC}">
              <c16:uniqueId val="{00000004-6E55-4647-AC25-001CFF6F71E9}"/>
            </c:ext>
          </c:extLst>
        </c:ser>
        <c:ser>
          <c:idx val="4"/>
          <c:order val="4"/>
          <c:tx>
            <c:strRef>
              <c:f>Resultat!$C$34:$D$34</c:f>
              <c:strCache>
                <c:ptCount val="2"/>
                <c:pt idx="0">
                  <c:v>Transport</c:v>
                </c:pt>
              </c:strCache>
            </c:strRef>
          </c:tx>
          <c:spPr>
            <a:solidFill>
              <a:srgbClr val="FF5050"/>
            </a:solidFill>
            <a:ln>
              <a:noFill/>
            </a:ln>
            <a:effectLst/>
          </c:spPr>
          <c:invertIfNegative val="0"/>
          <c:cat>
            <c:strRef>
              <c:f>Resultat!$E$29:$F$29</c:f>
              <c:strCache>
                <c:ptCount val="2"/>
                <c:pt idx="0">
                  <c:v>Hovedscenario</c:v>
                </c:pt>
                <c:pt idx="1">
                  <c:v>Scenario med tiltak</c:v>
                </c:pt>
              </c:strCache>
            </c:strRef>
          </c:cat>
          <c:val>
            <c:numRef>
              <c:f>Resultat!$E$34:$F$34</c:f>
              <c:numCache>
                <c:formatCode>#,##0</c:formatCode>
                <c:ptCount val="2"/>
                <c:pt idx="0">
                  <c:v>#N/A</c:v>
                </c:pt>
                <c:pt idx="1">
                  <c:v>#N/A</c:v>
                </c:pt>
              </c:numCache>
            </c:numRef>
          </c:val>
          <c:extLst>
            <c:ext xmlns:c16="http://schemas.microsoft.com/office/drawing/2014/chart" uri="{C3380CC4-5D6E-409C-BE32-E72D297353CC}">
              <c16:uniqueId val="{00000005-6E55-4647-AC25-001CFF6F71E9}"/>
            </c:ext>
          </c:extLst>
        </c:ser>
        <c:dLbls>
          <c:showLegendKey val="0"/>
          <c:showVal val="0"/>
          <c:showCatName val="0"/>
          <c:showSerName val="0"/>
          <c:showPercent val="0"/>
          <c:showBubbleSize val="0"/>
        </c:dLbls>
        <c:gapWidth val="150"/>
        <c:overlap val="100"/>
        <c:axId val="582212272"/>
        <c:axId val="582213256"/>
      </c:barChart>
      <c:catAx>
        <c:axId val="582212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nb-NO"/>
          </a:p>
        </c:txPr>
        <c:crossAx val="582213256"/>
        <c:crosses val="autoZero"/>
        <c:auto val="1"/>
        <c:lblAlgn val="ctr"/>
        <c:lblOffset val="100"/>
        <c:noMultiLvlLbl val="0"/>
      </c:catAx>
      <c:valAx>
        <c:axId val="58221325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r>
                  <a:rPr lang="nb-NO"/>
                  <a:t>tonn CO</a:t>
                </a:r>
                <a:r>
                  <a:rPr lang="nb-NO" sz="600"/>
                  <a:t>2</a:t>
                </a:r>
                <a:r>
                  <a:rPr lang="nb-NO"/>
                  <a:t>e</a:t>
                </a:r>
              </a:p>
            </c:rich>
          </c:tx>
          <c:layout>
            <c:manualLayout>
              <c:xMode val="edge"/>
              <c:yMode val="edge"/>
              <c:x val="3.6612720565475597E-4"/>
              <c:y val="0.29950086248027302"/>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nb-N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nb-NO"/>
          </a:p>
        </c:txPr>
        <c:crossAx val="582212272"/>
        <c:crosses val="autoZero"/>
        <c:crossBetween val="between"/>
      </c:valAx>
      <c:spPr>
        <a:noFill/>
        <a:ln>
          <a:noFill/>
        </a:ln>
        <a:effectLst/>
      </c:spPr>
    </c:plotArea>
    <c:legend>
      <c:legendPos val="r"/>
      <c:layout>
        <c:manualLayout>
          <c:xMode val="edge"/>
          <c:yMode val="edge"/>
          <c:x val="0.67113411531528866"/>
          <c:y val="0.1035436874816244"/>
          <c:w val="0.32460785090809019"/>
          <c:h val="0.6997236069266015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800"/>
      </a:pPr>
      <a:endParaRPr lang="nb-NO"/>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stacked"/>
        <c:varyColors val="0"/>
        <c:ser>
          <c:idx val="0"/>
          <c:order val="0"/>
          <c:tx>
            <c:strRef>
              <c:f>Resultat!$C$52:$D$52</c:f>
              <c:strCache>
                <c:ptCount val="2"/>
                <c:pt idx="0">
                  <c:v>Bygningsmasse og uteområder</c:v>
                </c:pt>
              </c:strCache>
            </c:strRef>
          </c:tx>
          <c:spPr>
            <a:solidFill>
              <a:srgbClr val="5B9BD5">
                <a:lumMod val="50000"/>
              </a:srgbClr>
            </a:solidFill>
            <a:ln>
              <a:noFill/>
            </a:ln>
            <a:effectLst/>
          </c:spPr>
          <c:invertIfNegative val="0"/>
          <c:cat>
            <c:strRef>
              <c:f>Resultat!$E$51:$F$51</c:f>
              <c:strCache>
                <c:ptCount val="2"/>
                <c:pt idx="0">
                  <c:v>Hovedscenario</c:v>
                </c:pt>
                <c:pt idx="1">
                  <c:v>Scenario med tiltak</c:v>
                </c:pt>
              </c:strCache>
            </c:strRef>
          </c:cat>
          <c:val>
            <c:numRef>
              <c:f>Resultat!$E$52:$F$52</c:f>
              <c:numCache>
                <c:formatCode>#,##0</c:formatCode>
                <c:ptCount val="2"/>
                <c:pt idx="0">
                  <c:v>0</c:v>
                </c:pt>
                <c:pt idx="1">
                  <c:v>0</c:v>
                </c:pt>
              </c:numCache>
            </c:numRef>
          </c:val>
          <c:extLst>
            <c:ext xmlns:c16="http://schemas.microsoft.com/office/drawing/2014/chart" uri="{C3380CC4-5D6E-409C-BE32-E72D297353CC}">
              <c16:uniqueId val="{00000000-6E55-4647-AC25-001CFF6F71E9}"/>
            </c:ext>
          </c:extLst>
        </c:ser>
        <c:ser>
          <c:idx val="1"/>
          <c:order val="1"/>
          <c:tx>
            <c:strRef>
              <c:f>Resultat!$C$53:$D$53</c:f>
              <c:strCache>
                <c:ptCount val="2"/>
                <c:pt idx="0">
                  <c:v>Byggeplass</c:v>
                </c:pt>
              </c:strCache>
            </c:strRef>
          </c:tx>
          <c:spPr>
            <a:solidFill>
              <a:srgbClr val="00B0F0"/>
            </a:solidFill>
            <a:ln>
              <a:noFill/>
            </a:ln>
            <a:effectLst/>
          </c:spPr>
          <c:invertIfNegative val="0"/>
          <c:cat>
            <c:strRef>
              <c:f>Resultat!$E$51:$F$51</c:f>
              <c:strCache>
                <c:ptCount val="2"/>
                <c:pt idx="0">
                  <c:v>Hovedscenario</c:v>
                </c:pt>
                <c:pt idx="1">
                  <c:v>Scenario med tiltak</c:v>
                </c:pt>
              </c:strCache>
            </c:strRef>
          </c:cat>
          <c:val>
            <c:numRef>
              <c:f>Resultat!$E$53:$F$53</c:f>
              <c:numCache>
                <c:formatCode>#,##0</c:formatCode>
                <c:ptCount val="2"/>
                <c:pt idx="0">
                  <c:v>0</c:v>
                </c:pt>
                <c:pt idx="1">
                  <c:v>0</c:v>
                </c:pt>
              </c:numCache>
            </c:numRef>
          </c:val>
          <c:extLst>
            <c:ext xmlns:c16="http://schemas.microsoft.com/office/drawing/2014/chart" uri="{C3380CC4-5D6E-409C-BE32-E72D297353CC}">
              <c16:uniqueId val="{00000001-6E55-4647-AC25-001CFF6F71E9}"/>
            </c:ext>
          </c:extLst>
        </c:ser>
        <c:ser>
          <c:idx val="2"/>
          <c:order val="2"/>
          <c:tx>
            <c:strRef>
              <c:f>Resultat!$C$54:$D$54</c:f>
              <c:strCache>
                <c:ptCount val="2"/>
                <c:pt idx="0">
                  <c:v>Energibruk</c:v>
                </c:pt>
              </c:strCache>
            </c:strRef>
          </c:tx>
          <c:spPr>
            <a:solidFill>
              <a:srgbClr val="99CC00"/>
            </a:solidFill>
            <a:ln>
              <a:noFill/>
            </a:ln>
            <a:effectLst/>
          </c:spPr>
          <c:invertIfNegative val="0"/>
          <c:cat>
            <c:strRef>
              <c:f>Resultat!$E$51:$F$51</c:f>
              <c:strCache>
                <c:ptCount val="2"/>
                <c:pt idx="0">
                  <c:v>Hovedscenario</c:v>
                </c:pt>
                <c:pt idx="1">
                  <c:v>Scenario med tiltak</c:v>
                </c:pt>
              </c:strCache>
            </c:strRef>
          </c:cat>
          <c:val>
            <c:numRef>
              <c:f>Resultat!$E$54:$F$54</c:f>
              <c:numCache>
                <c:formatCode>#,##0</c:formatCode>
                <c:ptCount val="2"/>
                <c:pt idx="0">
                  <c:v>0</c:v>
                </c:pt>
                <c:pt idx="1">
                  <c:v>0</c:v>
                </c:pt>
              </c:numCache>
            </c:numRef>
          </c:val>
          <c:extLst>
            <c:ext xmlns:c16="http://schemas.microsoft.com/office/drawing/2014/chart" uri="{C3380CC4-5D6E-409C-BE32-E72D297353CC}">
              <c16:uniqueId val="{00000003-6E55-4647-AC25-001CFF6F71E9}"/>
            </c:ext>
          </c:extLst>
        </c:ser>
        <c:ser>
          <c:idx val="3"/>
          <c:order val="3"/>
          <c:tx>
            <c:strRef>
              <c:f>Resultat!$C$55:$D$55</c:f>
              <c:strCache>
                <c:ptCount val="2"/>
                <c:pt idx="0">
                  <c:v>Arealbruksendring</c:v>
                </c:pt>
              </c:strCache>
            </c:strRef>
          </c:tx>
          <c:spPr>
            <a:solidFill>
              <a:srgbClr val="78A200"/>
            </a:solidFill>
            <a:ln>
              <a:noFill/>
            </a:ln>
            <a:effectLst/>
          </c:spPr>
          <c:invertIfNegative val="0"/>
          <c:cat>
            <c:strRef>
              <c:f>Resultat!$E$51:$F$51</c:f>
              <c:strCache>
                <c:ptCount val="2"/>
                <c:pt idx="0">
                  <c:v>Hovedscenario</c:v>
                </c:pt>
                <c:pt idx="1">
                  <c:v>Scenario med tiltak</c:v>
                </c:pt>
              </c:strCache>
            </c:strRef>
          </c:cat>
          <c:val>
            <c:numRef>
              <c:f>Resultat!$E$55:$F$55</c:f>
              <c:numCache>
                <c:formatCode>#,##0</c:formatCode>
                <c:ptCount val="2"/>
                <c:pt idx="0">
                  <c:v>0</c:v>
                </c:pt>
                <c:pt idx="1">
                  <c:v>0</c:v>
                </c:pt>
              </c:numCache>
            </c:numRef>
          </c:val>
          <c:extLst>
            <c:ext xmlns:c16="http://schemas.microsoft.com/office/drawing/2014/chart" uri="{C3380CC4-5D6E-409C-BE32-E72D297353CC}">
              <c16:uniqueId val="{00000004-6E55-4647-AC25-001CFF6F71E9}"/>
            </c:ext>
          </c:extLst>
        </c:ser>
        <c:ser>
          <c:idx val="4"/>
          <c:order val="4"/>
          <c:tx>
            <c:strRef>
              <c:f>Resultat!$C$56:$D$56</c:f>
              <c:strCache>
                <c:ptCount val="2"/>
                <c:pt idx="0">
                  <c:v>Transport</c:v>
                </c:pt>
              </c:strCache>
            </c:strRef>
          </c:tx>
          <c:spPr>
            <a:solidFill>
              <a:srgbClr val="FF5050"/>
            </a:solidFill>
            <a:ln>
              <a:noFill/>
            </a:ln>
            <a:effectLst/>
          </c:spPr>
          <c:invertIfNegative val="0"/>
          <c:cat>
            <c:strRef>
              <c:f>Resultat!$E$51:$F$51</c:f>
              <c:strCache>
                <c:ptCount val="2"/>
                <c:pt idx="0">
                  <c:v>Hovedscenario</c:v>
                </c:pt>
                <c:pt idx="1">
                  <c:v>Scenario med tiltak</c:v>
                </c:pt>
              </c:strCache>
            </c:strRef>
          </c:cat>
          <c:val>
            <c:numRef>
              <c:f>Resultat!$E$56:$F$56</c:f>
              <c:numCache>
                <c:formatCode>#,##0</c:formatCode>
                <c:ptCount val="2"/>
                <c:pt idx="0">
                  <c:v>#N/A</c:v>
                </c:pt>
                <c:pt idx="1">
                  <c:v>#N/A</c:v>
                </c:pt>
              </c:numCache>
            </c:numRef>
          </c:val>
          <c:extLst>
            <c:ext xmlns:c16="http://schemas.microsoft.com/office/drawing/2014/chart" uri="{C3380CC4-5D6E-409C-BE32-E72D297353CC}">
              <c16:uniqueId val="{00000005-6E55-4647-AC25-001CFF6F71E9}"/>
            </c:ext>
          </c:extLst>
        </c:ser>
        <c:dLbls>
          <c:showLegendKey val="0"/>
          <c:showVal val="0"/>
          <c:showCatName val="0"/>
          <c:showSerName val="0"/>
          <c:showPercent val="0"/>
          <c:showBubbleSize val="0"/>
        </c:dLbls>
        <c:gapWidth val="150"/>
        <c:overlap val="100"/>
        <c:axId val="582212272"/>
        <c:axId val="582213256"/>
      </c:barChart>
      <c:catAx>
        <c:axId val="582212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nb-NO"/>
          </a:p>
        </c:txPr>
        <c:crossAx val="582213256"/>
        <c:crosses val="autoZero"/>
        <c:auto val="1"/>
        <c:lblAlgn val="ctr"/>
        <c:lblOffset val="100"/>
        <c:noMultiLvlLbl val="0"/>
      </c:catAx>
      <c:valAx>
        <c:axId val="58221325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r>
                  <a:rPr lang="nb-NO"/>
                  <a:t>tonn CO</a:t>
                </a:r>
                <a:r>
                  <a:rPr lang="nb-NO" sz="600"/>
                  <a:t>2</a:t>
                </a:r>
                <a:r>
                  <a:rPr lang="nb-NO"/>
                  <a:t>e</a:t>
                </a:r>
              </a:p>
            </c:rich>
          </c:tx>
          <c:layout>
            <c:manualLayout>
              <c:xMode val="edge"/>
              <c:yMode val="edge"/>
              <c:x val="3.6999402629937642E-4"/>
              <c:y val="0.27915962160973001"/>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nb-N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nb-NO"/>
          </a:p>
        </c:txPr>
        <c:crossAx val="582212272"/>
        <c:crosses val="autoZero"/>
        <c:crossBetween val="between"/>
      </c:valAx>
      <c:spPr>
        <a:noFill/>
        <a:ln>
          <a:noFill/>
        </a:ln>
        <a:effectLst/>
      </c:spPr>
    </c:plotArea>
    <c:legend>
      <c:legendPos val="r"/>
      <c:layout>
        <c:manualLayout>
          <c:xMode val="edge"/>
          <c:yMode val="edge"/>
          <c:x val="0.6711155854969949"/>
          <c:y val="0.11266540104751527"/>
          <c:w val="0.32460785090809019"/>
          <c:h val="0.72856856576733386"/>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chart>
  <c:spPr>
    <a:noFill/>
    <a:ln w="9525" cap="flat" cmpd="sng" algn="ctr">
      <a:noFill/>
      <a:round/>
    </a:ln>
    <a:effectLst/>
  </c:spPr>
  <c:txPr>
    <a:bodyPr/>
    <a:lstStyle/>
    <a:p>
      <a:pPr>
        <a:defRPr sz="800"/>
      </a:pPr>
      <a:endParaRPr lang="nb-NO"/>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6161942</xdr:colOff>
      <xdr:row>2</xdr:row>
      <xdr:rowOff>220312</xdr:rowOff>
    </xdr:from>
    <xdr:to>
      <xdr:col>2</xdr:col>
      <xdr:colOff>205153</xdr:colOff>
      <xdr:row>4</xdr:row>
      <xdr:rowOff>151608</xdr:rowOff>
    </xdr:to>
    <xdr:pic>
      <xdr:nvPicPr>
        <xdr:cNvPr id="4" name="Picture 3">
          <a:extLst>
            <a:ext uri="{FF2B5EF4-FFF2-40B4-BE49-F238E27FC236}">
              <a16:creationId xmlns:a16="http://schemas.microsoft.com/office/drawing/2014/main" id="{BDBEFD4F-53AB-4419-9A58-C80917E78D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8384" y="696562"/>
          <a:ext cx="2168769" cy="4515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6103327</xdr:colOff>
      <xdr:row>0</xdr:row>
      <xdr:rowOff>101776</xdr:rowOff>
    </xdr:from>
    <xdr:to>
      <xdr:col>2</xdr:col>
      <xdr:colOff>187641</xdr:colOff>
      <xdr:row>2</xdr:row>
      <xdr:rowOff>153263</xdr:rowOff>
    </xdr:to>
    <xdr:pic>
      <xdr:nvPicPr>
        <xdr:cNvPr id="5" name="Picture 4" descr="logo">
          <a:extLst>
            <a:ext uri="{FF2B5EF4-FFF2-40B4-BE49-F238E27FC236}">
              <a16:creationId xmlns:a16="http://schemas.microsoft.com/office/drawing/2014/main" id="{D5135155-9091-4050-A052-0B5BD3E77F5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359769" y="101776"/>
          <a:ext cx="2209872" cy="5204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125184</xdr:colOff>
      <xdr:row>38</xdr:row>
      <xdr:rowOff>174172</xdr:rowOff>
    </xdr:from>
    <xdr:to>
      <xdr:col>7</xdr:col>
      <xdr:colOff>517070</xdr:colOff>
      <xdr:row>47</xdr:row>
      <xdr:rowOff>163286</xdr:rowOff>
    </xdr:to>
    <xdr:graphicFrame macro="">
      <xdr:nvGraphicFramePr>
        <xdr:cNvPr id="7" name="Chart 6">
          <a:extLst>
            <a:ext uri="{FF2B5EF4-FFF2-40B4-BE49-F238E27FC236}">
              <a16:creationId xmlns:a16="http://schemas.microsoft.com/office/drawing/2014/main" id="{3A02D0AF-F740-4C31-81E0-C4556C8F2BE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114299</xdr:colOff>
      <xdr:row>60</xdr:row>
      <xdr:rowOff>174170</xdr:rowOff>
    </xdr:from>
    <xdr:to>
      <xdr:col>7</xdr:col>
      <xdr:colOff>506185</xdr:colOff>
      <xdr:row>70</xdr:row>
      <xdr:rowOff>5443</xdr:rowOff>
    </xdr:to>
    <xdr:graphicFrame macro="">
      <xdr:nvGraphicFramePr>
        <xdr:cNvPr id="8" name="Chart 7">
          <a:extLst>
            <a:ext uri="{FF2B5EF4-FFF2-40B4-BE49-F238E27FC236}">
              <a16:creationId xmlns:a16="http://schemas.microsoft.com/office/drawing/2014/main" id="{15648767-49F2-41E4-8C61-C08B13073B0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5</xdr:col>
      <xdr:colOff>108857</xdr:colOff>
      <xdr:row>1</xdr:row>
      <xdr:rowOff>158156</xdr:rowOff>
    </xdr:from>
    <xdr:to>
      <xdr:col>8</xdr:col>
      <xdr:colOff>99486</xdr:colOff>
      <xdr:row>2</xdr:row>
      <xdr:rowOff>267849</xdr:rowOff>
    </xdr:to>
    <xdr:pic>
      <xdr:nvPicPr>
        <xdr:cNvPr id="5" name="Picture 4" descr="logo">
          <a:extLst>
            <a:ext uri="{FF2B5EF4-FFF2-40B4-BE49-F238E27FC236}">
              <a16:creationId xmlns:a16="http://schemas.microsoft.com/office/drawing/2014/main" id="{14C615C6-F37A-43E4-8A30-8438216990C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712028" y="261570"/>
          <a:ext cx="1884744" cy="4417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5050"/>
  </sheetPr>
  <dimension ref="A1:F19"/>
  <sheetViews>
    <sheetView showGridLines="0" tabSelected="1" zoomScale="130" zoomScaleNormal="130" workbookViewId="0">
      <selection activeCell="B7" sqref="B7"/>
    </sheetView>
  </sheetViews>
  <sheetFormatPr baseColWidth="10" defaultColWidth="9.140625" defaultRowHeight="15" x14ac:dyDescent="0.25"/>
  <cols>
    <col min="1" max="1" width="3.85546875" customWidth="1"/>
    <col min="2" max="2" width="121.85546875" customWidth="1"/>
    <col min="3" max="3" width="4.140625" customWidth="1"/>
  </cols>
  <sheetData>
    <row r="1" spans="1:6" ht="12" customHeight="1" x14ac:dyDescent="0.25">
      <c r="A1" s="137"/>
      <c r="B1" s="137"/>
      <c r="C1" s="137"/>
    </row>
    <row r="2" spans="1:6" ht="24.75" customHeight="1" x14ac:dyDescent="0.35">
      <c r="A2" s="137"/>
      <c r="B2" s="445" t="s">
        <v>87</v>
      </c>
      <c r="C2" s="442"/>
      <c r="D2" s="442"/>
      <c r="E2" s="442"/>
      <c r="F2" s="442"/>
    </row>
    <row r="3" spans="1:6" ht="20.25" customHeight="1" x14ac:dyDescent="0.25">
      <c r="A3" s="137"/>
      <c r="B3" s="445"/>
      <c r="C3" s="137"/>
    </row>
    <row r="4" spans="1:6" ht="21" x14ac:dyDescent="0.35">
      <c r="A4" s="137"/>
      <c r="B4" s="443" t="s">
        <v>429</v>
      </c>
      <c r="C4" s="137"/>
    </row>
    <row r="5" spans="1:6" ht="15.75" thickBot="1" x14ac:dyDescent="0.3">
      <c r="A5" s="137"/>
      <c r="B5" s="137"/>
      <c r="C5" s="137"/>
    </row>
    <row r="6" spans="1:6" ht="15.75" thickBot="1" x14ac:dyDescent="0.3">
      <c r="A6" s="343"/>
      <c r="B6" s="343"/>
      <c r="C6" s="343"/>
    </row>
    <row r="7" spans="1:6" ht="166.5" customHeight="1" x14ac:dyDescent="0.25">
      <c r="A7" s="254"/>
      <c r="B7" s="319" t="s">
        <v>426</v>
      </c>
      <c r="C7" s="254"/>
    </row>
    <row r="8" spans="1:6" ht="10.5" customHeight="1" x14ac:dyDescent="0.25">
      <c r="A8" s="254"/>
      <c r="B8" s="319"/>
      <c r="C8" s="254"/>
    </row>
    <row r="9" spans="1:6" ht="44.25" customHeight="1" x14ac:dyDescent="0.25">
      <c r="A9" s="254"/>
      <c r="B9" s="319" t="s">
        <v>337</v>
      </c>
      <c r="C9" s="254"/>
    </row>
    <row r="10" spans="1:6" ht="9" customHeight="1" x14ac:dyDescent="0.25">
      <c r="A10" s="254"/>
      <c r="B10" s="254"/>
      <c r="C10" s="254"/>
    </row>
    <row r="11" spans="1:6" ht="201.75" customHeight="1" x14ac:dyDescent="0.25">
      <c r="A11" s="254"/>
      <c r="B11" s="320" t="s">
        <v>431</v>
      </c>
      <c r="C11" s="254"/>
    </row>
    <row r="12" spans="1:6" ht="8.25" customHeight="1" x14ac:dyDescent="0.25">
      <c r="A12" s="254"/>
      <c r="B12" s="320"/>
      <c r="C12" s="254"/>
    </row>
    <row r="13" spans="1:6" ht="120" x14ac:dyDescent="0.25">
      <c r="A13" s="254"/>
      <c r="B13" s="321" t="s">
        <v>338</v>
      </c>
      <c r="C13" s="254"/>
    </row>
    <row r="14" spans="1:6" x14ac:dyDescent="0.25">
      <c r="A14" s="254"/>
      <c r="B14" s="321"/>
      <c r="C14" s="254"/>
    </row>
    <row r="15" spans="1:6" x14ac:dyDescent="0.25">
      <c r="A15" s="254"/>
      <c r="B15" s="255" t="s">
        <v>339</v>
      </c>
      <c r="C15" s="254"/>
    </row>
    <row r="16" spans="1:6" ht="45.75" customHeight="1" x14ac:dyDescent="0.25">
      <c r="A16" s="254"/>
      <c r="B16" s="322" t="s">
        <v>340</v>
      </c>
      <c r="C16" s="254"/>
    </row>
    <row r="17" spans="1:3" ht="15.75" thickBot="1" x14ac:dyDescent="0.3">
      <c r="A17" s="256"/>
      <c r="B17" s="256"/>
      <c r="C17" s="256"/>
    </row>
    <row r="18" spans="1:3" ht="15.75" thickBot="1" x14ac:dyDescent="0.3">
      <c r="A18" s="323"/>
      <c r="B18" s="323"/>
      <c r="C18" s="323"/>
    </row>
    <row r="19" spans="1:3" x14ac:dyDescent="0.25">
      <c r="A19" s="444" t="s">
        <v>430</v>
      </c>
      <c r="B19" s="444"/>
      <c r="C19" s="444"/>
    </row>
  </sheetData>
  <sheetProtection algorithmName="SHA-512" hashValue="cpccmJbZgab+e7njiYHSY+4pI//B3GBULjkqKpod0x43Cwuz9nua/SIjR92PCefUxj/vre2/25AqI+VPJ/aCgg==" saltValue="K6JU4xpTyBxBhPIQyb91Bw==" spinCount="100000" sheet="1" objects="1" scenarios="1"/>
  <mergeCells count="2">
    <mergeCell ref="A19:C19"/>
    <mergeCell ref="B2:B3"/>
  </mergeCells>
  <pageMargins left="0.7" right="0.7" top="0.75" bottom="0.75" header="0.3" footer="0.3"/>
  <pageSetup paperSize="9" orientation="landscape"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24478-49CD-470A-9E1E-2EE3BA1E8261}">
  <sheetPr>
    <tabColor rgb="FFFF7C80"/>
    <pageSetUpPr fitToPage="1"/>
  </sheetPr>
  <dimension ref="A1:T145"/>
  <sheetViews>
    <sheetView showGridLines="0" zoomScale="160" zoomScaleNormal="160" workbookViewId="0">
      <selection activeCell="B11" sqref="B11"/>
    </sheetView>
  </sheetViews>
  <sheetFormatPr baseColWidth="10" defaultColWidth="9.140625" defaultRowHeight="12.75" x14ac:dyDescent="0.2"/>
  <cols>
    <col min="1" max="1" width="1" style="1" customWidth="1"/>
    <col min="2" max="2" width="3.42578125" style="1" customWidth="1"/>
    <col min="3" max="3" width="16.42578125" style="1" customWidth="1"/>
    <col min="4" max="4" width="9.42578125" style="1" customWidth="1"/>
    <col min="5" max="5" width="13.28515625" style="1" customWidth="1"/>
    <col min="6" max="6" width="10.5703125" style="1" customWidth="1"/>
    <col min="7" max="7" width="11.140625" style="1" customWidth="1"/>
    <col min="8" max="8" width="4.28515625" style="1" customWidth="1"/>
    <col min="9" max="9" width="1.7109375" style="1" customWidth="1"/>
    <col min="10" max="10" width="4.28515625" style="1" customWidth="1"/>
    <col min="11" max="12" width="12.7109375" style="1" customWidth="1"/>
    <col min="13" max="13" width="14.140625" style="1" customWidth="1"/>
    <col min="14" max="14" width="12.7109375" style="1" customWidth="1"/>
    <col min="15" max="15" width="7" style="1" customWidth="1"/>
    <col min="16" max="16" width="1.140625" style="1" customWidth="1"/>
    <col min="17" max="16384" width="9.140625" style="1"/>
  </cols>
  <sheetData>
    <row r="1" spans="1:16" ht="31.5" customHeight="1" x14ac:dyDescent="0.2">
      <c r="A1" s="459" t="s">
        <v>415</v>
      </c>
      <c r="B1" s="459"/>
      <c r="C1" s="459"/>
      <c r="D1" s="459"/>
      <c r="E1" s="459"/>
      <c r="F1" s="459"/>
      <c r="G1" s="459"/>
      <c r="H1" s="459"/>
      <c r="I1" s="459"/>
      <c r="J1" s="459"/>
      <c r="K1" s="459"/>
      <c r="L1" s="459"/>
      <c r="M1" s="459"/>
      <c r="N1" s="459"/>
      <c r="O1" s="459"/>
      <c r="P1" s="460"/>
    </row>
    <row r="2" spans="1:16" ht="9.75" customHeight="1" thickBot="1" x14ac:dyDescent="0.25">
      <c r="A2" s="461"/>
      <c r="B2" s="461"/>
      <c r="C2" s="461"/>
      <c r="D2" s="461"/>
      <c r="E2" s="461"/>
      <c r="F2" s="461"/>
      <c r="G2" s="461"/>
      <c r="H2" s="461"/>
      <c r="I2" s="461"/>
      <c r="J2" s="461"/>
      <c r="K2" s="461"/>
      <c r="L2" s="461"/>
      <c r="M2" s="461"/>
      <c r="N2" s="461"/>
      <c r="O2" s="461"/>
      <c r="P2" s="462"/>
    </row>
    <row r="3" spans="1:16" x14ac:dyDescent="0.2">
      <c r="A3" s="282"/>
      <c r="B3" s="3"/>
      <c r="C3" s="13"/>
      <c r="D3" s="3"/>
      <c r="E3" s="3"/>
      <c r="F3" s="3"/>
      <c r="G3" s="3"/>
      <c r="H3" s="3"/>
      <c r="I3" s="3"/>
      <c r="J3" s="3"/>
      <c r="K3" s="3"/>
      <c r="L3" s="3"/>
      <c r="M3" s="3"/>
      <c r="N3" s="3"/>
      <c r="O3" s="3"/>
      <c r="P3" s="17"/>
    </row>
    <row r="4" spans="1:16" ht="56.25" customHeight="1" x14ac:dyDescent="0.2">
      <c r="A4" s="282"/>
      <c r="B4" s="3"/>
      <c r="C4" s="468" t="s">
        <v>88</v>
      </c>
      <c r="D4" s="468"/>
      <c r="E4" s="468"/>
      <c r="F4" s="468"/>
      <c r="G4" s="468"/>
      <c r="H4" s="468"/>
      <c r="I4" s="468"/>
      <c r="J4" s="468"/>
      <c r="K4" s="468"/>
      <c r="L4" s="468"/>
      <c r="M4" s="468"/>
      <c r="N4" s="468"/>
      <c r="O4" s="14"/>
      <c r="P4" s="17"/>
    </row>
    <row r="5" spans="1:16" x14ac:dyDescent="0.2">
      <c r="A5" s="17"/>
      <c r="B5" s="17"/>
      <c r="C5" s="17"/>
      <c r="D5" s="17"/>
      <c r="E5" s="17"/>
      <c r="F5" s="17"/>
      <c r="G5" s="17"/>
      <c r="H5" s="17"/>
      <c r="I5" s="17"/>
      <c r="J5" s="17"/>
      <c r="K5" s="17"/>
      <c r="L5" s="17"/>
      <c r="M5" s="17"/>
      <c r="N5" s="17"/>
      <c r="O5" s="17"/>
      <c r="P5" s="17"/>
    </row>
    <row r="6" spans="1:16" x14ac:dyDescent="0.2">
      <c r="A6" s="282"/>
      <c r="B6" s="3"/>
      <c r="C6" s="3"/>
      <c r="D6" s="31"/>
      <c r="E6" s="31"/>
      <c r="F6" s="31"/>
      <c r="G6" s="31"/>
      <c r="H6" s="31"/>
      <c r="I6" s="31"/>
      <c r="J6" s="31"/>
      <c r="K6" s="31"/>
      <c r="L6" s="31"/>
      <c r="M6" s="31"/>
      <c r="N6" s="31"/>
      <c r="O6" s="14"/>
      <c r="P6" s="17"/>
    </row>
    <row r="7" spans="1:16" x14ac:dyDescent="0.2">
      <c r="A7" s="282"/>
      <c r="B7" s="3"/>
      <c r="C7" s="174" t="s">
        <v>362</v>
      </c>
      <c r="D7" s="31"/>
      <c r="E7" s="31"/>
      <c r="F7" s="31"/>
      <c r="G7" s="31"/>
      <c r="H7" s="31"/>
      <c r="I7" s="31"/>
      <c r="J7" s="31"/>
      <c r="K7" s="31"/>
      <c r="L7" s="31"/>
      <c r="M7" s="31"/>
      <c r="N7" s="31"/>
      <c r="O7" s="14"/>
      <c r="P7" s="17"/>
    </row>
    <row r="8" spans="1:16" x14ac:dyDescent="0.2">
      <c r="A8" s="282"/>
      <c r="B8" s="3"/>
      <c r="C8" s="174"/>
      <c r="D8" s="31"/>
      <c r="E8" s="31"/>
      <c r="F8" s="31"/>
      <c r="G8" s="31"/>
      <c r="H8" s="31"/>
      <c r="I8" s="31"/>
      <c r="J8" s="31"/>
      <c r="K8" s="31"/>
      <c r="L8" s="31"/>
      <c r="M8" s="31"/>
      <c r="N8" s="31"/>
      <c r="O8" s="14"/>
      <c r="P8" s="17"/>
    </row>
    <row r="9" spans="1:16" ht="43.5" customHeight="1" x14ac:dyDescent="0.2">
      <c r="A9" s="282"/>
      <c r="B9" s="3"/>
      <c r="C9" s="477" t="s">
        <v>270</v>
      </c>
      <c r="D9" s="477"/>
      <c r="E9" s="477"/>
      <c r="F9" s="477"/>
      <c r="G9" s="477"/>
      <c r="H9" s="477"/>
      <c r="I9" s="477"/>
      <c r="J9" s="477"/>
      <c r="K9" s="477"/>
      <c r="L9" s="477"/>
      <c r="M9" s="477"/>
      <c r="N9" s="31"/>
      <c r="O9" s="14"/>
      <c r="P9" s="17"/>
    </row>
    <row r="10" spans="1:16" ht="12.75" customHeight="1" thickBot="1" x14ac:dyDescent="0.25">
      <c r="A10" s="282"/>
      <c r="B10" s="3"/>
      <c r="C10" s="245"/>
      <c r="D10" s="245"/>
      <c r="E10" s="245"/>
      <c r="F10" s="245"/>
      <c r="G10" s="245"/>
      <c r="H10" s="245"/>
      <c r="I10" s="245"/>
      <c r="J10" s="245"/>
      <c r="K10" s="245"/>
      <c r="L10" s="245"/>
      <c r="M10" s="245"/>
      <c r="N10" s="31"/>
      <c r="O10" s="14"/>
      <c r="P10" s="17"/>
    </row>
    <row r="11" spans="1:16" ht="17.25" customHeight="1" x14ac:dyDescent="0.2">
      <c r="A11" s="282"/>
      <c r="B11" s="3"/>
      <c r="C11" s="472" t="s">
        <v>310</v>
      </c>
      <c r="D11" s="473"/>
      <c r="E11" s="474" t="s">
        <v>303</v>
      </c>
      <c r="F11" s="475"/>
      <c r="G11" s="476"/>
      <c r="H11" s="269"/>
      <c r="I11" s="269"/>
      <c r="J11" s="269"/>
      <c r="K11" s="269"/>
      <c r="L11" s="269"/>
      <c r="M11" s="269"/>
      <c r="N11" s="31"/>
      <c r="O11" s="14"/>
      <c r="P11" s="17"/>
    </row>
    <row r="12" spans="1:16" ht="18" customHeight="1" thickBot="1" x14ac:dyDescent="0.25">
      <c r="A12" s="282"/>
      <c r="B12" s="3"/>
      <c r="C12" s="270" t="s">
        <v>311</v>
      </c>
      <c r="D12" s="271"/>
      <c r="E12" s="498" t="s">
        <v>312</v>
      </c>
      <c r="F12" s="499"/>
      <c r="G12" s="500"/>
      <c r="H12" s="245"/>
      <c r="I12" s="245"/>
      <c r="J12" s="245"/>
      <c r="K12" s="245"/>
      <c r="L12" s="245"/>
      <c r="M12" s="245"/>
      <c r="N12" s="31"/>
      <c r="O12" s="14"/>
      <c r="P12" s="17"/>
    </row>
    <row r="13" spans="1:16" ht="13.5" thickBot="1" x14ac:dyDescent="0.25">
      <c r="A13" s="282"/>
      <c r="B13" s="3"/>
      <c r="C13" s="4"/>
      <c r="D13" s="3"/>
      <c r="E13" s="177"/>
      <c r="F13" s="178"/>
      <c r="G13" s="31"/>
      <c r="H13" s="31"/>
      <c r="I13" s="31"/>
      <c r="J13" s="31"/>
      <c r="K13" s="31"/>
      <c r="L13" s="31"/>
      <c r="M13" s="31"/>
      <c r="N13" s="31"/>
      <c r="O13" s="14"/>
      <c r="P13" s="17"/>
    </row>
    <row r="14" spans="1:16" ht="29.25" customHeight="1" x14ac:dyDescent="0.2">
      <c r="A14" s="282"/>
      <c r="B14" s="3"/>
      <c r="C14" s="224" t="s">
        <v>220</v>
      </c>
      <c r="D14" s="225"/>
      <c r="E14" s="226" t="s">
        <v>172</v>
      </c>
      <c r="F14" s="227"/>
      <c r="G14" s="359" t="s">
        <v>395</v>
      </c>
      <c r="H14" s="31"/>
      <c r="I14" s="31"/>
      <c r="J14" s="31"/>
      <c r="K14" s="31"/>
      <c r="L14" s="31"/>
      <c r="M14" s="31"/>
      <c r="N14" s="31"/>
      <c r="O14" s="14"/>
      <c r="P14" s="17"/>
    </row>
    <row r="15" spans="1:16" x14ac:dyDescent="0.2">
      <c r="A15" s="282"/>
      <c r="B15" s="3"/>
      <c r="C15" s="159" t="s">
        <v>363</v>
      </c>
      <c r="D15" s="160"/>
      <c r="E15" s="504"/>
      <c r="F15" s="505"/>
      <c r="G15" s="395" t="s">
        <v>210</v>
      </c>
      <c r="H15" s="31"/>
      <c r="I15" s="31"/>
      <c r="J15" s="31"/>
      <c r="K15" s="31"/>
      <c r="L15" s="31"/>
      <c r="M15" s="31"/>
      <c r="N15" s="31"/>
      <c r="O15" s="14"/>
      <c r="P15" s="17"/>
    </row>
    <row r="16" spans="1:16" x14ac:dyDescent="0.2">
      <c r="A16" s="282"/>
      <c r="B16" s="3"/>
      <c r="C16" s="158" t="s">
        <v>171</v>
      </c>
      <c r="D16" s="155"/>
      <c r="E16" s="504" t="s">
        <v>367</v>
      </c>
      <c r="F16" s="505"/>
      <c r="G16" s="396"/>
      <c r="H16" s="31"/>
      <c r="I16" s="31"/>
      <c r="J16" s="31"/>
      <c r="K16" s="31"/>
      <c r="L16" s="31"/>
      <c r="M16" s="31"/>
      <c r="N16" s="31"/>
      <c r="O16" s="14"/>
      <c r="P16" s="17"/>
    </row>
    <row r="17" spans="1:16" x14ac:dyDescent="0.2">
      <c r="A17" s="282"/>
      <c r="B17" s="3"/>
      <c r="C17" s="158" t="s">
        <v>173</v>
      </c>
      <c r="D17" s="155"/>
      <c r="E17" s="504" t="s">
        <v>368</v>
      </c>
      <c r="F17" s="505"/>
      <c r="G17" s="396"/>
      <c r="H17" s="31"/>
      <c r="I17" s="31"/>
      <c r="J17" s="31"/>
      <c r="K17" s="31"/>
      <c r="L17" s="31"/>
      <c r="M17" s="31"/>
      <c r="N17" s="31"/>
      <c r="O17" s="14"/>
      <c r="P17" s="17"/>
    </row>
    <row r="18" spans="1:16" x14ac:dyDescent="0.2">
      <c r="A18" s="282"/>
      <c r="B18" s="3"/>
      <c r="C18" s="158" t="s">
        <v>174</v>
      </c>
      <c r="D18" s="155"/>
      <c r="E18" s="504"/>
      <c r="F18" s="505"/>
      <c r="G18" s="396"/>
      <c r="H18" s="31"/>
      <c r="I18" s="31"/>
      <c r="J18" s="31"/>
      <c r="K18" s="31"/>
      <c r="L18" s="31"/>
      <c r="M18" s="31"/>
      <c r="N18" s="31"/>
      <c r="O18" s="14"/>
      <c r="P18" s="17"/>
    </row>
    <row r="19" spans="1:16" ht="13.5" thickBot="1" x14ac:dyDescent="0.25">
      <c r="A19" s="282"/>
      <c r="B19" s="3"/>
      <c r="C19" s="156" t="s">
        <v>176</v>
      </c>
      <c r="D19" s="157"/>
      <c r="E19" s="506"/>
      <c r="F19" s="507"/>
      <c r="G19" s="397"/>
      <c r="H19" s="31"/>
      <c r="I19" s="31"/>
      <c r="J19" s="31"/>
      <c r="K19" s="31"/>
      <c r="L19" s="31"/>
      <c r="M19" s="31"/>
      <c r="N19" s="31"/>
      <c r="O19" s="14"/>
      <c r="P19" s="17"/>
    </row>
    <row r="20" spans="1:16" ht="13.5" thickBot="1" x14ac:dyDescent="0.25">
      <c r="A20" s="282"/>
      <c r="B20" s="3"/>
      <c r="C20" s="154"/>
      <c r="D20" s="154"/>
      <c r="E20" s="31"/>
      <c r="F20" s="31"/>
      <c r="G20" s="31"/>
      <c r="H20" s="31"/>
      <c r="I20" s="31"/>
      <c r="J20" s="31"/>
      <c r="K20" s="31"/>
      <c r="L20" s="31"/>
      <c r="M20" s="31"/>
      <c r="N20" s="31"/>
      <c r="O20" s="14"/>
      <c r="P20" s="17"/>
    </row>
    <row r="21" spans="1:16" ht="27.75" customHeight="1" x14ac:dyDescent="0.2">
      <c r="A21" s="282"/>
      <c r="B21" s="3"/>
      <c r="C21" s="501" t="s">
        <v>253</v>
      </c>
      <c r="D21" s="502"/>
      <c r="E21" s="502"/>
      <c r="F21" s="503"/>
      <c r="G21" s="73" t="s">
        <v>394</v>
      </c>
      <c r="H21" s="31"/>
      <c r="I21" s="31"/>
      <c r="J21" s="31"/>
      <c r="K21" s="31"/>
      <c r="L21" s="344"/>
      <c r="M21" s="31"/>
      <c r="N21" s="31"/>
      <c r="O21" s="14"/>
      <c r="P21" s="17"/>
    </row>
    <row r="22" spans="1:16" x14ac:dyDescent="0.2">
      <c r="A22" s="282"/>
      <c r="B22" s="3"/>
      <c r="C22" s="9" t="s">
        <v>146</v>
      </c>
      <c r="D22" s="496" t="s">
        <v>222</v>
      </c>
      <c r="E22" s="496"/>
      <c r="F22" s="497"/>
      <c r="G22" s="398"/>
      <c r="H22" s="31"/>
      <c r="I22" s="31"/>
      <c r="J22" s="31"/>
      <c r="K22" s="31"/>
      <c r="L22" s="31"/>
      <c r="M22" s="31"/>
      <c r="N22" s="31"/>
      <c r="O22" s="14"/>
      <c r="P22" s="17"/>
    </row>
    <row r="23" spans="1:16" x14ac:dyDescent="0.2">
      <c r="A23" s="282"/>
      <c r="B23" s="3"/>
      <c r="C23" s="9" t="s">
        <v>147</v>
      </c>
      <c r="D23" s="496" t="s">
        <v>223</v>
      </c>
      <c r="E23" s="496"/>
      <c r="F23" s="497"/>
      <c r="G23" s="398"/>
      <c r="H23" s="31"/>
      <c r="I23" s="31"/>
      <c r="J23" s="31"/>
      <c r="K23" s="31"/>
      <c r="L23" s="31"/>
      <c r="M23" s="31"/>
      <c r="N23" s="31"/>
      <c r="O23" s="14"/>
      <c r="P23" s="17"/>
    </row>
    <row r="24" spans="1:16" x14ac:dyDescent="0.2">
      <c r="A24" s="282"/>
      <c r="B24" s="3"/>
      <c r="C24" s="9" t="s">
        <v>161</v>
      </c>
      <c r="D24" s="496" t="s">
        <v>224</v>
      </c>
      <c r="E24" s="496"/>
      <c r="F24" s="497"/>
      <c r="G24" s="398"/>
      <c r="H24" s="31"/>
      <c r="I24" s="31"/>
      <c r="J24" s="31"/>
      <c r="K24" s="31"/>
      <c r="L24" s="31"/>
      <c r="M24" s="31"/>
      <c r="N24" s="31"/>
      <c r="O24" s="14"/>
      <c r="P24" s="17"/>
    </row>
    <row r="25" spans="1:16" x14ac:dyDescent="0.2">
      <c r="A25" s="282"/>
      <c r="B25" s="3"/>
      <c r="C25" s="9" t="s">
        <v>159</v>
      </c>
      <c r="D25" s="496" t="s">
        <v>225</v>
      </c>
      <c r="E25" s="496"/>
      <c r="F25" s="497"/>
      <c r="G25" s="398"/>
      <c r="H25" s="31"/>
      <c r="I25" s="31"/>
      <c r="J25" s="31"/>
      <c r="K25" s="31"/>
      <c r="L25" s="31"/>
      <c r="M25" s="31"/>
      <c r="N25" s="31"/>
      <c r="O25" s="14"/>
      <c r="P25" s="17"/>
    </row>
    <row r="26" spans="1:16" ht="13.5" thickBot="1" x14ac:dyDescent="0.25">
      <c r="A26" s="282"/>
      <c r="B26" s="3"/>
      <c r="C26" s="188" t="s">
        <v>160</v>
      </c>
      <c r="D26" s="470" t="s">
        <v>226</v>
      </c>
      <c r="E26" s="470"/>
      <c r="F26" s="471"/>
      <c r="G26" s="399"/>
      <c r="H26" s="31"/>
      <c r="I26" s="31"/>
      <c r="J26" s="31"/>
      <c r="K26" s="31"/>
      <c r="L26" s="31"/>
      <c r="M26" s="31"/>
      <c r="N26" s="31"/>
      <c r="O26" s="14"/>
      <c r="P26" s="17"/>
    </row>
    <row r="27" spans="1:16" ht="12" customHeight="1" x14ac:dyDescent="0.2">
      <c r="A27" s="282"/>
      <c r="B27" s="3"/>
      <c r="C27" s="31"/>
      <c r="D27" s="31"/>
      <c r="E27" s="31"/>
      <c r="F27" s="31"/>
      <c r="G27" s="31"/>
      <c r="H27" s="31"/>
      <c r="I27" s="31"/>
      <c r="J27" s="31"/>
      <c r="K27" s="31"/>
      <c r="L27" s="31"/>
      <c r="M27" s="31"/>
      <c r="N27" s="31"/>
      <c r="O27" s="14"/>
      <c r="P27" s="17"/>
    </row>
    <row r="28" spans="1:16" x14ac:dyDescent="0.2">
      <c r="A28" s="282"/>
      <c r="B28" s="3"/>
      <c r="C28" s="31"/>
      <c r="D28" s="31"/>
      <c r="E28" s="31"/>
      <c r="F28" s="31"/>
      <c r="G28" s="31"/>
      <c r="H28" s="31"/>
      <c r="I28" s="31"/>
      <c r="J28" s="31"/>
      <c r="K28" s="31"/>
      <c r="L28" s="31"/>
      <c r="M28" s="31"/>
      <c r="N28" s="31"/>
      <c r="O28" s="14"/>
      <c r="P28" s="17"/>
    </row>
    <row r="29" spans="1:16" x14ac:dyDescent="0.2">
      <c r="A29" s="17"/>
      <c r="B29" s="17"/>
      <c r="C29" s="17"/>
      <c r="D29" s="17"/>
      <c r="E29" s="17"/>
      <c r="F29" s="17"/>
      <c r="G29" s="17"/>
      <c r="H29" s="17"/>
      <c r="I29" s="17"/>
      <c r="J29" s="17"/>
      <c r="K29" s="17"/>
      <c r="L29" s="17"/>
      <c r="M29" s="17"/>
      <c r="N29" s="17"/>
      <c r="O29" s="17"/>
      <c r="P29" s="17"/>
    </row>
    <row r="30" spans="1:16" x14ac:dyDescent="0.2">
      <c r="A30" s="281"/>
      <c r="B30" s="66"/>
      <c r="C30" s="66"/>
      <c r="D30" s="66"/>
      <c r="E30" s="66"/>
      <c r="F30" s="66"/>
      <c r="G30" s="66"/>
      <c r="H30" s="66"/>
      <c r="I30" s="283"/>
      <c r="J30" s="38"/>
      <c r="K30" s="38"/>
      <c r="L30" s="38"/>
      <c r="M30" s="38"/>
      <c r="N30" s="38"/>
      <c r="O30" s="38"/>
      <c r="P30" s="17"/>
    </row>
    <row r="31" spans="1:16" ht="24.75" customHeight="1" x14ac:dyDescent="0.2">
      <c r="A31" s="281"/>
      <c r="B31" s="66"/>
      <c r="C31" s="67" t="s">
        <v>435</v>
      </c>
      <c r="D31" s="66"/>
      <c r="E31" s="66"/>
      <c r="F31" s="66"/>
      <c r="G31" s="66"/>
      <c r="H31" s="66"/>
      <c r="I31" s="283"/>
      <c r="J31" s="38"/>
      <c r="K31" s="59" t="s">
        <v>64</v>
      </c>
      <c r="L31" s="38"/>
      <c r="M31" s="38"/>
      <c r="N31" s="38"/>
      <c r="O31" s="38"/>
      <c r="P31" s="17"/>
    </row>
    <row r="32" spans="1:16" ht="45.75" customHeight="1" x14ac:dyDescent="0.2">
      <c r="A32" s="281"/>
      <c r="B32" s="66"/>
      <c r="C32" s="482" t="s">
        <v>406</v>
      </c>
      <c r="D32" s="482"/>
      <c r="E32" s="482"/>
      <c r="F32" s="482"/>
      <c r="G32" s="482"/>
      <c r="H32" s="68"/>
      <c r="I32" s="284"/>
      <c r="J32" s="39"/>
      <c r="K32" s="451" t="s">
        <v>67</v>
      </c>
      <c r="L32" s="451"/>
      <c r="M32" s="451"/>
      <c r="N32" s="451"/>
      <c r="O32" s="38"/>
      <c r="P32" s="17"/>
    </row>
    <row r="33" spans="1:20" ht="13.5" thickBot="1" x14ac:dyDescent="0.25">
      <c r="A33" s="281"/>
      <c r="B33" s="66"/>
      <c r="C33" s="66"/>
      <c r="D33" s="66"/>
      <c r="E33" s="66"/>
      <c r="F33" s="66"/>
      <c r="G33" s="66"/>
      <c r="H33" s="66"/>
      <c r="I33" s="283"/>
      <c r="J33" s="38"/>
      <c r="K33" s="451"/>
      <c r="L33" s="451"/>
      <c r="M33" s="451"/>
      <c r="N33" s="451"/>
      <c r="O33" s="38"/>
      <c r="P33" s="17"/>
    </row>
    <row r="34" spans="1:20" ht="25.5" customHeight="1" x14ac:dyDescent="0.2">
      <c r="A34" s="281"/>
      <c r="B34" s="66"/>
      <c r="C34" s="71"/>
      <c r="D34" s="72" t="s">
        <v>8</v>
      </c>
      <c r="E34" s="508" t="s">
        <v>0</v>
      </c>
      <c r="F34" s="357" t="s">
        <v>373</v>
      </c>
      <c r="G34" s="358" t="s">
        <v>372</v>
      </c>
      <c r="H34" s="66"/>
      <c r="I34" s="283"/>
      <c r="J34" s="38"/>
      <c r="K34" s="448" t="s">
        <v>71</v>
      </c>
      <c r="L34" s="449"/>
      <c r="M34" s="406">
        <v>0</v>
      </c>
      <c r="N34" s="40"/>
      <c r="O34" s="38"/>
      <c r="P34" s="17"/>
      <c r="Q34" s="2"/>
    </row>
    <row r="35" spans="1:20" ht="18" customHeight="1" x14ac:dyDescent="0.2">
      <c r="A35" s="281"/>
      <c r="B35" s="66"/>
      <c r="C35" s="354"/>
      <c r="D35" s="355"/>
      <c r="E35" s="509"/>
      <c r="F35" s="350" t="s">
        <v>4</v>
      </c>
      <c r="G35" s="356" t="s">
        <v>4</v>
      </c>
      <c r="H35" s="66"/>
      <c r="I35" s="283"/>
      <c r="J35" s="38"/>
      <c r="K35" s="348"/>
      <c r="L35" s="349"/>
      <c r="M35" s="41"/>
      <c r="N35" s="40"/>
      <c r="O35" s="38"/>
      <c r="P35" s="17"/>
      <c r="Q35" s="2"/>
    </row>
    <row r="36" spans="1:20" x14ac:dyDescent="0.2">
      <c r="A36" s="281"/>
      <c r="B36" s="66"/>
      <c r="C36" s="469" t="s">
        <v>136</v>
      </c>
      <c r="D36" s="74" t="s">
        <v>10</v>
      </c>
      <c r="E36" s="400"/>
      <c r="F36" s="401"/>
      <c r="G36" s="417">
        <f>E36*F36</f>
        <v>0</v>
      </c>
      <c r="H36" s="66"/>
      <c r="I36" s="283"/>
      <c r="J36" s="38"/>
      <c r="K36" s="41"/>
      <c r="L36" s="41"/>
      <c r="M36" s="41"/>
      <c r="N36" s="41"/>
      <c r="O36" s="38"/>
      <c r="P36" s="17"/>
      <c r="T36" s="2"/>
    </row>
    <row r="37" spans="1:20" x14ac:dyDescent="0.2">
      <c r="A37" s="281"/>
      <c r="B37" s="66"/>
      <c r="C37" s="469"/>
      <c r="D37" s="74" t="s">
        <v>9</v>
      </c>
      <c r="E37" s="402"/>
      <c r="F37" s="403"/>
      <c r="G37" s="417">
        <f t="shared" ref="G37:G41" si="0">E37*F37</f>
        <v>0</v>
      </c>
      <c r="H37" s="66"/>
      <c r="I37" s="283"/>
      <c r="J37" s="38"/>
      <c r="K37" s="41"/>
      <c r="L37" s="41"/>
      <c r="M37" s="41"/>
      <c r="N37" s="41"/>
      <c r="O37" s="38"/>
      <c r="P37" s="17"/>
    </row>
    <row r="38" spans="1:20" ht="12.75" customHeight="1" x14ac:dyDescent="0.2">
      <c r="A38" s="281"/>
      <c r="B38" s="66"/>
      <c r="C38" s="469" t="s">
        <v>137</v>
      </c>
      <c r="D38" s="74" t="s">
        <v>10</v>
      </c>
      <c r="E38" s="402"/>
      <c r="F38" s="403"/>
      <c r="G38" s="417">
        <f t="shared" si="0"/>
        <v>0</v>
      </c>
      <c r="H38" s="66"/>
      <c r="I38" s="283"/>
      <c r="J38" s="38"/>
      <c r="K38" s="450" t="s">
        <v>68</v>
      </c>
      <c r="L38" s="450"/>
      <c r="M38" s="450"/>
      <c r="N38" s="450"/>
      <c r="O38" s="38"/>
      <c r="P38" s="17"/>
    </row>
    <row r="39" spans="1:20" x14ac:dyDescent="0.2">
      <c r="A39" s="281"/>
      <c r="B39" s="66"/>
      <c r="C39" s="469"/>
      <c r="D39" s="74" t="s">
        <v>9</v>
      </c>
      <c r="E39" s="402"/>
      <c r="F39" s="403"/>
      <c r="G39" s="417">
        <f t="shared" si="0"/>
        <v>0</v>
      </c>
      <c r="H39" s="66"/>
      <c r="I39" s="283"/>
      <c r="J39" s="38"/>
      <c r="K39" s="450"/>
      <c r="L39" s="450"/>
      <c r="M39" s="450"/>
      <c r="N39" s="450"/>
      <c r="O39" s="38"/>
      <c r="P39" s="17"/>
    </row>
    <row r="40" spans="1:20" x14ac:dyDescent="0.2">
      <c r="A40" s="281"/>
      <c r="B40" s="66"/>
      <c r="C40" s="469" t="s">
        <v>138</v>
      </c>
      <c r="D40" s="74" t="s">
        <v>10</v>
      </c>
      <c r="E40" s="402"/>
      <c r="F40" s="403"/>
      <c r="G40" s="417">
        <f t="shared" si="0"/>
        <v>0</v>
      </c>
      <c r="H40" s="66"/>
      <c r="I40" s="283"/>
      <c r="J40" s="38"/>
      <c r="K40" s="450"/>
      <c r="L40" s="450"/>
      <c r="M40" s="450"/>
      <c r="N40" s="450"/>
      <c r="O40" s="38"/>
      <c r="P40" s="17"/>
    </row>
    <row r="41" spans="1:20" x14ac:dyDescent="0.2">
      <c r="A41" s="281"/>
      <c r="B41" s="66"/>
      <c r="C41" s="469"/>
      <c r="D41" s="74" t="s">
        <v>9</v>
      </c>
      <c r="E41" s="402"/>
      <c r="F41" s="403"/>
      <c r="G41" s="417">
        <f t="shared" si="0"/>
        <v>0</v>
      </c>
      <c r="H41" s="66"/>
      <c r="I41" s="283"/>
      <c r="J41" s="38"/>
      <c r="K41" s="450"/>
      <c r="L41" s="450"/>
      <c r="M41" s="450"/>
      <c r="N41" s="450"/>
      <c r="O41" s="38"/>
      <c r="P41" s="17"/>
    </row>
    <row r="42" spans="1:20" ht="27.75" customHeight="1" x14ac:dyDescent="0.2">
      <c r="A42" s="281"/>
      <c r="B42" s="66"/>
      <c r="C42" s="487" t="s">
        <v>60</v>
      </c>
      <c r="D42" s="488"/>
      <c r="E42" s="402"/>
      <c r="F42" s="403"/>
      <c r="G42" s="418">
        <f t="shared" ref="G42:G43" si="1">E42*F42</f>
        <v>0</v>
      </c>
      <c r="H42" s="66"/>
      <c r="I42" s="283"/>
      <c r="J42" s="38"/>
      <c r="K42" s="39"/>
      <c r="L42" s="39"/>
      <c r="M42" s="39"/>
      <c r="N42" s="39"/>
      <c r="O42" s="38"/>
      <c r="P42" s="17"/>
    </row>
    <row r="43" spans="1:20" ht="27.75" customHeight="1" thickBot="1" x14ac:dyDescent="0.25">
      <c r="A43" s="281"/>
      <c r="B43" s="66"/>
      <c r="C43" s="489" t="s">
        <v>61</v>
      </c>
      <c r="D43" s="490"/>
      <c r="E43" s="404"/>
      <c r="F43" s="405"/>
      <c r="G43" s="419">
        <f t="shared" si="1"/>
        <v>0</v>
      </c>
      <c r="H43" s="66"/>
      <c r="I43" s="283"/>
      <c r="J43" s="38"/>
      <c r="K43" s="40"/>
      <c r="L43" s="121" t="s">
        <v>69</v>
      </c>
      <c r="M43" s="407" t="s">
        <v>62</v>
      </c>
      <c r="N43" s="39"/>
      <c r="O43" s="38"/>
      <c r="P43" s="17"/>
    </row>
    <row r="44" spans="1:20" ht="13.5" thickBot="1" x14ac:dyDescent="0.25">
      <c r="A44" s="281"/>
      <c r="B44" s="66"/>
      <c r="C44" s="66"/>
      <c r="D44" s="66"/>
      <c r="E44" s="66"/>
      <c r="F44" s="66"/>
      <c r="G44" s="419">
        <f>SUM(G36:G43)</f>
        <v>0</v>
      </c>
      <c r="H44" s="66"/>
      <c r="I44" s="283"/>
      <c r="J44" s="38"/>
      <c r="K44" s="39"/>
      <c r="L44" s="39"/>
      <c r="M44" s="39"/>
      <c r="N44" s="39"/>
      <c r="O44" s="38"/>
      <c r="P44" s="17"/>
    </row>
    <row r="45" spans="1:20" ht="39" customHeight="1" thickBot="1" x14ac:dyDescent="0.25">
      <c r="A45" s="281"/>
      <c r="B45" s="66"/>
      <c r="C45" s="467"/>
      <c r="D45" s="467"/>
      <c r="E45" s="467"/>
      <c r="F45" s="467"/>
      <c r="G45" s="467"/>
      <c r="H45" s="66"/>
      <c r="I45" s="283"/>
      <c r="J45" s="38"/>
      <c r="K45" s="38"/>
      <c r="L45" s="38"/>
      <c r="M45" s="38"/>
      <c r="N45" s="38"/>
      <c r="O45" s="38"/>
      <c r="P45" s="17"/>
    </row>
    <row r="46" spans="1:20" ht="13.5" thickBot="1" x14ac:dyDescent="0.25">
      <c r="A46" s="281"/>
      <c r="B46" s="66"/>
      <c r="C46" s="69"/>
      <c r="D46" s="69"/>
      <c r="E46" s="363" t="s">
        <v>398</v>
      </c>
      <c r="F46" s="364">
        <f>'Forutsetninger og beregninger'!J50</f>
        <v>0</v>
      </c>
      <c r="G46" s="365" t="s">
        <v>121</v>
      </c>
      <c r="H46" s="66"/>
      <c r="I46" s="283"/>
      <c r="J46" s="38"/>
      <c r="K46" s="494" t="s">
        <v>398</v>
      </c>
      <c r="L46" s="495"/>
      <c r="M46" s="361">
        <f>'Forutsetninger og beregninger'!H81</f>
        <v>0</v>
      </c>
      <c r="N46" s="362" t="s">
        <v>121</v>
      </c>
      <c r="O46" s="38"/>
      <c r="P46" s="17"/>
    </row>
    <row r="47" spans="1:20" ht="13.5" thickBot="1" x14ac:dyDescent="0.25">
      <c r="A47" s="281"/>
      <c r="B47" s="66"/>
      <c r="C47" s="66"/>
      <c r="D47" s="66"/>
      <c r="E47" s="66"/>
      <c r="F47" s="66"/>
      <c r="G47" s="66"/>
      <c r="H47" s="66"/>
      <c r="I47" s="283"/>
      <c r="J47" s="38"/>
      <c r="K47" s="38"/>
      <c r="L47" s="42" t="s">
        <v>70</v>
      </c>
      <c r="M47" s="299" t="e">
        <f>1-(M46/F46)</f>
        <v>#DIV/0!</v>
      </c>
      <c r="N47" s="298"/>
      <c r="O47" s="38"/>
      <c r="P47" s="17"/>
    </row>
    <row r="48" spans="1:20" x14ac:dyDescent="0.2">
      <c r="A48" s="281"/>
      <c r="B48" s="66"/>
      <c r="C48" s="66"/>
      <c r="D48" s="66"/>
      <c r="E48" s="66"/>
      <c r="F48" s="66"/>
      <c r="G48" s="66"/>
      <c r="H48" s="66"/>
      <c r="I48" s="283"/>
      <c r="J48" s="38"/>
      <c r="K48" s="38"/>
      <c r="L48" s="42"/>
      <c r="M48" s="38"/>
      <c r="N48" s="38"/>
      <c r="O48" s="38"/>
      <c r="P48" s="17"/>
    </row>
    <row r="49" spans="1:16" x14ac:dyDescent="0.2">
      <c r="A49" s="17"/>
      <c r="B49" s="17"/>
      <c r="C49" s="17"/>
      <c r="D49" s="17"/>
      <c r="E49" s="17"/>
      <c r="F49" s="17"/>
      <c r="G49" s="17"/>
      <c r="H49" s="17"/>
      <c r="I49" s="17"/>
      <c r="J49" s="17"/>
      <c r="K49" s="17"/>
      <c r="L49" s="17"/>
      <c r="M49" s="17"/>
      <c r="N49" s="17"/>
      <c r="O49" s="17"/>
      <c r="P49" s="17"/>
    </row>
    <row r="50" spans="1:16" x14ac:dyDescent="0.2">
      <c r="A50" s="280"/>
      <c r="B50" s="66"/>
      <c r="C50" s="66"/>
      <c r="D50" s="66"/>
      <c r="E50" s="66"/>
      <c r="F50" s="66"/>
      <c r="G50" s="66"/>
      <c r="H50" s="66"/>
      <c r="I50" s="283"/>
      <c r="J50" s="38"/>
      <c r="K50" s="38"/>
      <c r="L50" s="38"/>
      <c r="M50" s="38"/>
      <c r="N50" s="38"/>
      <c r="O50" s="38"/>
      <c r="P50" s="17"/>
    </row>
    <row r="51" spans="1:16" ht="24.75" customHeight="1" x14ac:dyDescent="0.2">
      <c r="A51" s="281"/>
      <c r="B51" s="66"/>
      <c r="C51" s="67" t="s">
        <v>72</v>
      </c>
      <c r="D51" s="66"/>
      <c r="E51" s="66"/>
      <c r="F51" s="66"/>
      <c r="G51" s="66"/>
      <c r="H51" s="66"/>
      <c r="I51" s="283"/>
      <c r="J51" s="38"/>
      <c r="K51" s="59" t="s">
        <v>73</v>
      </c>
      <c r="L51" s="38"/>
      <c r="M51" s="38"/>
      <c r="N51" s="38"/>
      <c r="O51" s="38"/>
      <c r="P51" s="17"/>
    </row>
    <row r="52" spans="1:16" ht="30" customHeight="1" x14ac:dyDescent="0.2">
      <c r="A52" s="281"/>
      <c r="B52" s="66"/>
      <c r="C52" s="482" t="s">
        <v>74</v>
      </c>
      <c r="D52" s="482"/>
      <c r="E52" s="482"/>
      <c r="F52" s="482"/>
      <c r="G52" s="482"/>
      <c r="H52" s="66"/>
      <c r="I52" s="283"/>
      <c r="J52" s="38"/>
      <c r="K52" s="451" t="s">
        <v>364</v>
      </c>
      <c r="L52" s="451"/>
      <c r="M52" s="451"/>
      <c r="N52" s="451"/>
      <c r="O52" s="38"/>
      <c r="P52" s="17"/>
    </row>
    <row r="53" spans="1:16" ht="23.25" customHeight="1" thickBot="1" x14ac:dyDescent="0.25">
      <c r="A53" s="281"/>
      <c r="B53" s="66"/>
      <c r="C53" s="76"/>
      <c r="D53" s="76"/>
      <c r="E53" s="76"/>
      <c r="F53" s="76"/>
      <c r="G53" s="76"/>
      <c r="H53" s="66"/>
      <c r="I53" s="283"/>
      <c r="J53" s="38"/>
      <c r="K53" s="451"/>
      <c r="L53" s="451"/>
      <c r="M53" s="451"/>
      <c r="N53" s="451"/>
      <c r="O53" s="38"/>
      <c r="P53" s="17"/>
    </row>
    <row r="54" spans="1:16" ht="21" customHeight="1" thickBot="1" x14ac:dyDescent="0.25">
      <c r="A54" s="281"/>
      <c r="B54" s="66"/>
      <c r="C54" s="465" t="s">
        <v>36</v>
      </c>
      <c r="D54" s="466"/>
      <c r="E54" s="491"/>
      <c r="F54" s="492"/>
      <c r="G54" s="493"/>
      <c r="H54" s="66"/>
      <c r="I54" s="283"/>
      <c r="J54" s="38"/>
      <c r="K54" s="448" t="s">
        <v>89</v>
      </c>
      <c r="L54" s="449"/>
      <c r="M54" s="408">
        <v>0</v>
      </c>
      <c r="N54" s="46"/>
      <c r="O54" s="47"/>
      <c r="P54" s="75"/>
    </row>
    <row r="55" spans="1:16" ht="24" customHeight="1" x14ac:dyDescent="0.2">
      <c r="A55" s="281"/>
      <c r="B55" s="66"/>
      <c r="C55" s="66"/>
      <c r="D55" s="66"/>
      <c r="E55" s="66"/>
      <c r="F55" s="66"/>
      <c r="G55" s="66"/>
      <c r="H55" s="66"/>
      <c r="I55" s="283"/>
      <c r="J55" s="38"/>
      <c r="K55" s="38"/>
      <c r="L55" s="77" t="s">
        <v>336</v>
      </c>
      <c r="M55" s="81">
        <f>E54-(M54*E54)</f>
        <v>0</v>
      </c>
      <c r="N55" s="82"/>
      <c r="O55" s="38"/>
      <c r="P55" s="17"/>
    </row>
    <row r="56" spans="1:16" x14ac:dyDescent="0.2">
      <c r="A56" s="281"/>
      <c r="B56" s="66"/>
      <c r="C56" s="66"/>
      <c r="D56" s="66"/>
      <c r="E56" s="66"/>
      <c r="F56" s="66"/>
      <c r="G56" s="66"/>
      <c r="H56" s="66"/>
      <c r="I56" s="283"/>
      <c r="J56" s="38"/>
      <c r="K56" s="39"/>
      <c r="L56" s="39"/>
      <c r="M56" s="39"/>
      <c r="N56" s="39"/>
      <c r="O56" s="38"/>
      <c r="P56" s="17"/>
    </row>
    <row r="57" spans="1:16" ht="46.5" customHeight="1" x14ac:dyDescent="0.2">
      <c r="A57" s="281"/>
      <c r="B57" s="66"/>
      <c r="C57" s="66"/>
      <c r="D57" s="66"/>
      <c r="E57" s="66"/>
      <c r="F57" s="66"/>
      <c r="G57" s="66"/>
      <c r="H57" s="66"/>
      <c r="I57" s="283"/>
      <c r="J57" s="38"/>
      <c r="K57" s="450" t="s">
        <v>365</v>
      </c>
      <c r="L57" s="450"/>
      <c r="M57" s="450"/>
      <c r="N57" s="450"/>
      <c r="O57" s="38"/>
      <c r="P57" s="17"/>
    </row>
    <row r="58" spans="1:16" x14ac:dyDescent="0.2">
      <c r="A58" s="281"/>
      <c r="B58" s="66"/>
      <c r="C58" s="66"/>
      <c r="D58" s="66"/>
      <c r="E58" s="66"/>
      <c r="F58" s="66"/>
      <c r="G58" s="66"/>
      <c r="H58" s="66"/>
      <c r="I58" s="283"/>
      <c r="J58" s="38"/>
      <c r="K58" s="45"/>
      <c r="L58" s="45"/>
      <c r="M58" s="45"/>
      <c r="N58" s="45"/>
      <c r="O58" s="38"/>
      <c r="P58" s="17"/>
    </row>
    <row r="59" spans="1:16" ht="25.5" customHeight="1" x14ac:dyDescent="0.2">
      <c r="A59" s="281"/>
      <c r="B59" s="66"/>
      <c r="C59" s="66"/>
      <c r="D59" s="66"/>
      <c r="E59" s="66"/>
      <c r="F59" s="66"/>
      <c r="G59" s="66"/>
      <c r="H59" s="66"/>
      <c r="I59" s="283"/>
      <c r="J59" s="38"/>
      <c r="K59" s="448" t="s">
        <v>37</v>
      </c>
      <c r="L59" s="449"/>
      <c r="M59" s="452" t="s">
        <v>103</v>
      </c>
      <c r="N59" s="453"/>
      <c r="O59" s="38"/>
      <c r="P59" s="17"/>
    </row>
    <row r="60" spans="1:16" ht="13.5" thickBot="1" x14ac:dyDescent="0.25">
      <c r="A60" s="281"/>
      <c r="B60" s="66"/>
      <c r="C60" s="66"/>
      <c r="D60" s="66"/>
      <c r="E60" s="66"/>
      <c r="F60" s="66"/>
      <c r="G60" s="66"/>
      <c r="H60" s="66"/>
      <c r="I60" s="283"/>
      <c r="J60" s="38"/>
      <c r="K60" s="45"/>
      <c r="L60" s="45"/>
      <c r="M60" s="45"/>
      <c r="N60" s="45"/>
      <c r="O60" s="38"/>
      <c r="P60" s="17"/>
    </row>
    <row r="61" spans="1:16" ht="13.5" customHeight="1" thickBot="1" x14ac:dyDescent="0.25">
      <c r="A61" s="281"/>
      <c r="B61" s="66"/>
      <c r="C61" s="69"/>
      <c r="D61" s="69"/>
      <c r="E61" s="70" t="s">
        <v>398</v>
      </c>
      <c r="F61" s="341">
        <f>'Forutsetninger og beregninger'!G91</f>
        <v>0</v>
      </c>
      <c r="G61" s="297" t="s">
        <v>63</v>
      </c>
      <c r="H61" s="66"/>
      <c r="I61" s="283"/>
      <c r="J61" s="38"/>
      <c r="K61" s="38"/>
      <c r="L61" s="42" t="s">
        <v>398</v>
      </c>
      <c r="M61" s="340">
        <f>'Forutsetninger og beregninger'!K97</f>
        <v>0</v>
      </c>
      <c r="N61" s="298" t="s">
        <v>121</v>
      </c>
      <c r="O61" s="38"/>
      <c r="P61" s="17"/>
    </row>
    <row r="62" spans="1:16" ht="13.5" thickBot="1" x14ac:dyDescent="0.25">
      <c r="A62" s="281"/>
      <c r="B62" s="66"/>
      <c r="C62" s="66"/>
      <c r="D62" s="66"/>
      <c r="E62" s="66"/>
      <c r="F62" s="66"/>
      <c r="G62" s="66"/>
      <c r="H62" s="66"/>
      <c r="I62" s="283"/>
      <c r="J62" s="38"/>
      <c r="K62" s="38"/>
      <c r="L62" s="42" t="s">
        <v>70</v>
      </c>
      <c r="M62" s="299" t="e">
        <f>1-(M61/F61)</f>
        <v>#DIV/0!</v>
      </c>
      <c r="N62" s="298"/>
      <c r="O62" s="38"/>
      <c r="P62" s="17"/>
    </row>
    <row r="63" spans="1:16" x14ac:dyDescent="0.2">
      <c r="A63" s="281"/>
      <c r="B63" s="66"/>
      <c r="C63" s="66"/>
      <c r="D63" s="66"/>
      <c r="E63" s="66"/>
      <c r="F63" s="66"/>
      <c r="G63" s="66"/>
      <c r="H63" s="66"/>
      <c r="I63" s="283"/>
      <c r="J63" s="38"/>
      <c r="K63" s="38"/>
      <c r="L63" s="42"/>
      <c r="M63" s="38"/>
      <c r="N63" s="38"/>
      <c r="O63" s="38"/>
      <c r="P63" s="17"/>
    </row>
    <row r="64" spans="1:16" x14ac:dyDescent="0.2">
      <c r="A64" s="17"/>
      <c r="B64" s="17"/>
      <c r="C64" s="17"/>
      <c r="D64" s="17"/>
      <c r="E64" s="17"/>
      <c r="F64" s="17"/>
      <c r="G64" s="17"/>
      <c r="H64" s="17"/>
      <c r="I64" s="17"/>
      <c r="J64" s="17"/>
      <c r="K64" s="17"/>
      <c r="L64" s="43"/>
      <c r="M64" s="44"/>
      <c r="N64" s="17"/>
      <c r="O64" s="17"/>
      <c r="P64" s="17"/>
    </row>
    <row r="65" spans="1:16" x14ac:dyDescent="0.2">
      <c r="A65" s="280"/>
      <c r="B65" s="66"/>
      <c r="C65" s="66"/>
      <c r="D65" s="66"/>
      <c r="E65" s="66"/>
      <c r="F65" s="66"/>
      <c r="G65" s="66"/>
      <c r="H65" s="66"/>
      <c r="I65" s="283"/>
      <c r="J65" s="38"/>
      <c r="K65" s="38"/>
      <c r="L65" s="38"/>
      <c r="M65" s="38"/>
      <c r="N65" s="38"/>
      <c r="O65" s="38"/>
      <c r="P65" s="17"/>
    </row>
    <row r="66" spans="1:16" x14ac:dyDescent="0.2">
      <c r="A66" s="281"/>
      <c r="B66" s="66"/>
      <c r="C66" s="67" t="s">
        <v>433</v>
      </c>
      <c r="D66" s="66"/>
      <c r="E66" s="66"/>
      <c r="F66" s="66"/>
      <c r="G66" s="66"/>
      <c r="H66" s="66"/>
      <c r="I66" s="283"/>
      <c r="J66" s="38"/>
      <c r="K66" s="59" t="s">
        <v>255</v>
      </c>
      <c r="L66" s="38"/>
      <c r="M66" s="38"/>
      <c r="N66" s="38"/>
      <c r="O66" s="38"/>
      <c r="P66" s="17"/>
    </row>
    <row r="67" spans="1:16" x14ac:dyDescent="0.2">
      <c r="A67" s="281"/>
      <c r="B67" s="66"/>
      <c r="C67" s="66"/>
      <c r="D67" s="66"/>
      <c r="E67" s="66"/>
      <c r="F67" s="66"/>
      <c r="G67" s="66"/>
      <c r="H67" s="66"/>
      <c r="I67" s="283"/>
      <c r="J67" s="38"/>
      <c r="K67" s="38"/>
      <c r="L67" s="42"/>
      <c r="M67" s="38"/>
      <c r="N67" s="38"/>
      <c r="O67" s="38"/>
      <c r="P67" s="17"/>
    </row>
    <row r="68" spans="1:16" ht="57.75" customHeight="1" x14ac:dyDescent="0.2">
      <c r="A68" s="281"/>
      <c r="B68" s="66"/>
      <c r="C68" s="482" t="s">
        <v>378</v>
      </c>
      <c r="D68" s="482"/>
      <c r="E68" s="482"/>
      <c r="F68" s="482"/>
      <c r="G68" s="482"/>
      <c r="H68" s="66"/>
      <c r="I68" s="283"/>
      <c r="J68" s="38"/>
      <c r="K68" s="451" t="s">
        <v>254</v>
      </c>
      <c r="L68" s="451"/>
      <c r="M68" s="451"/>
      <c r="N68" s="451"/>
      <c r="O68" s="38"/>
      <c r="P68" s="17"/>
    </row>
    <row r="69" spans="1:16" ht="34.5" customHeight="1" x14ac:dyDescent="0.2">
      <c r="A69" s="281"/>
      <c r="B69" s="66"/>
      <c r="C69" s="482"/>
      <c r="D69" s="482"/>
      <c r="E69" s="482"/>
      <c r="F69" s="482"/>
      <c r="G69" s="482"/>
      <c r="H69" s="66"/>
      <c r="I69" s="283"/>
      <c r="J69" s="38"/>
      <c r="K69" s="448" t="s">
        <v>256</v>
      </c>
      <c r="L69" s="449"/>
      <c r="M69" s="479" t="s">
        <v>260</v>
      </c>
      <c r="N69" s="479"/>
      <c r="O69" s="38"/>
      <c r="P69" s="17"/>
    </row>
    <row r="70" spans="1:16" x14ac:dyDescent="0.2">
      <c r="A70" s="281"/>
      <c r="B70" s="66"/>
      <c r="C70" s="66"/>
      <c r="D70" s="66"/>
      <c r="E70" s="66"/>
      <c r="F70" s="66"/>
      <c r="G70" s="66"/>
      <c r="H70" s="66"/>
      <c r="I70" s="283"/>
      <c r="J70" s="38"/>
      <c r="K70" s="38"/>
      <c r="L70" s="42"/>
      <c r="M70" s="38"/>
      <c r="N70" s="38"/>
      <c r="O70" s="38"/>
      <c r="P70" s="17"/>
    </row>
    <row r="71" spans="1:16" ht="13.5" thickBot="1" x14ac:dyDescent="0.25">
      <c r="A71" s="281"/>
      <c r="B71" s="66"/>
      <c r="C71" s="301"/>
      <c r="D71" s="301"/>
      <c r="E71" s="301"/>
      <c r="F71" s="301"/>
      <c r="G71" s="66"/>
      <c r="H71" s="66"/>
      <c r="I71" s="283"/>
      <c r="J71" s="38"/>
      <c r="K71" s="308" t="s">
        <v>327</v>
      </c>
      <c r="L71" s="38"/>
      <c r="M71" s="38"/>
      <c r="N71" s="38"/>
      <c r="O71" s="38"/>
      <c r="P71" s="17"/>
    </row>
    <row r="72" spans="1:16" ht="15.75" customHeight="1" thickBot="1" x14ac:dyDescent="0.25">
      <c r="A72" s="281"/>
      <c r="B72" s="66"/>
      <c r="C72" s="302" t="s">
        <v>377</v>
      </c>
      <c r="D72" s="303"/>
      <c r="E72" s="304"/>
      <c r="F72" s="409"/>
      <c r="G72" s="66"/>
      <c r="H72" s="66"/>
      <c r="I72" s="283"/>
      <c r="J72" s="38"/>
      <c r="K72" s="450" t="s">
        <v>333</v>
      </c>
      <c r="L72" s="450"/>
      <c r="M72" s="450"/>
      <c r="N72" s="450"/>
      <c r="O72" s="38"/>
      <c r="P72" s="17"/>
    </row>
    <row r="73" spans="1:16" ht="13.5" thickBot="1" x14ac:dyDescent="0.25">
      <c r="A73" s="281"/>
      <c r="B73" s="66"/>
      <c r="C73" s="301"/>
      <c r="D73" s="301"/>
      <c r="E73" s="301"/>
      <c r="F73" s="317"/>
      <c r="G73" s="66"/>
      <c r="H73" s="66"/>
      <c r="I73" s="283"/>
      <c r="J73" s="38"/>
      <c r="K73" s="450"/>
      <c r="L73" s="450"/>
      <c r="M73" s="450"/>
      <c r="N73" s="450"/>
      <c r="O73" s="38"/>
      <c r="P73" s="17"/>
    </row>
    <row r="74" spans="1:16" ht="16.5" customHeight="1" thickBot="1" x14ac:dyDescent="0.25">
      <c r="A74" s="281"/>
      <c r="B74" s="66"/>
      <c r="C74" s="305" t="s">
        <v>379</v>
      </c>
      <c r="D74" s="306"/>
      <c r="E74" s="307"/>
      <c r="F74" s="410"/>
      <c r="G74" s="66"/>
      <c r="H74" s="66"/>
      <c r="I74" s="283"/>
      <c r="J74" s="38"/>
      <c r="K74" s="450"/>
      <c r="L74" s="450"/>
      <c r="M74" s="450"/>
      <c r="N74" s="450"/>
      <c r="O74" s="38"/>
      <c r="P74" s="17"/>
    </row>
    <row r="75" spans="1:16" x14ac:dyDescent="0.2">
      <c r="A75" s="281"/>
      <c r="B75" s="66"/>
      <c r="C75" s="66"/>
      <c r="D75" s="66"/>
      <c r="E75" s="66"/>
      <c r="F75" s="66"/>
      <c r="G75" s="66"/>
      <c r="H75" s="66"/>
      <c r="I75" s="283"/>
      <c r="J75" s="38"/>
      <c r="K75" s="38"/>
      <c r="L75" s="38"/>
      <c r="M75" s="38"/>
      <c r="N75" s="38"/>
      <c r="O75" s="38"/>
      <c r="P75" s="17"/>
    </row>
    <row r="76" spans="1:16" x14ac:dyDescent="0.2">
      <c r="A76" s="281"/>
      <c r="B76" s="66"/>
      <c r="C76" s="66"/>
      <c r="D76" s="345"/>
      <c r="E76" s="66"/>
      <c r="F76" s="66"/>
      <c r="G76" s="66"/>
      <c r="H76" s="66"/>
      <c r="I76" s="283"/>
      <c r="J76" s="38"/>
      <c r="K76" s="38"/>
      <c r="L76" s="77" t="s">
        <v>325</v>
      </c>
      <c r="M76" s="411">
        <v>0</v>
      </c>
      <c r="N76" s="38"/>
      <c r="O76" s="38"/>
      <c r="P76" s="17"/>
    </row>
    <row r="77" spans="1:16" x14ac:dyDescent="0.2">
      <c r="A77" s="281"/>
      <c r="B77" s="66"/>
      <c r="C77" s="66"/>
      <c r="D77" s="66"/>
      <c r="E77" s="66"/>
      <c r="F77" s="66"/>
      <c r="G77" s="66"/>
      <c r="H77" s="66"/>
      <c r="I77" s="283"/>
      <c r="J77" s="38"/>
      <c r="K77" s="38"/>
      <c r="L77" s="77" t="s">
        <v>326</v>
      </c>
      <c r="M77" s="318">
        <f>F72-F72*M76</f>
        <v>0</v>
      </c>
      <c r="N77" s="38"/>
      <c r="O77" s="38"/>
      <c r="P77" s="17"/>
    </row>
    <row r="78" spans="1:16" x14ac:dyDescent="0.2">
      <c r="A78" s="281"/>
      <c r="B78" s="66"/>
      <c r="C78" s="66"/>
      <c r="D78" s="66"/>
      <c r="E78" s="66"/>
      <c r="F78" s="66"/>
      <c r="G78" s="66"/>
      <c r="H78" s="66"/>
      <c r="I78" s="283"/>
      <c r="J78" s="38"/>
      <c r="K78" s="38"/>
      <c r="L78" s="42"/>
      <c r="M78" s="38"/>
      <c r="N78" s="38"/>
      <c r="O78" s="38"/>
      <c r="P78" s="17"/>
    </row>
    <row r="79" spans="1:16" ht="13.5" thickBot="1" x14ac:dyDescent="0.25">
      <c r="A79" s="281"/>
      <c r="B79" s="66"/>
      <c r="C79" s="66"/>
      <c r="D79" s="66"/>
      <c r="E79" s="311" t="s">
        <v>332</v>
      </c>
      <c r="F79" s="311" t="s">
        <v>331</v>
      </c>
      <c r="G79" s="66"/>
      <c r="H79" s="66"/>
      <c r="I79" s="283"/>
      <c r="J79" s="38"/>
      <c r="K79" s="38"/>
      <c r="L79" s="42"/>
      <c r="M79" s="310" t="s">
        <v>332</v>
      </c>
      <c r="N79" s="310" t="s">
        <v>331</v>
      </c>
      <c r="O79" s="38"/>
      <c r="P79" s="17"/>
    </row>
    <row r="80" spans="1:16" ht="13.5" thickBot="1" x14ac:dyDescent="0.25">
      <c r="A80" s="281"/>
      <c r="B80" s="66"/>
      <c r="C80" s="309"/>
      <c r="D80" s="70" t="s">
        <v>398</v>
      </c>
      <c r="E80" s="341">
        <f>'Forutsetninger og beregninger'!G117</f>
        <v>0</v>
      </c>
      <c r="F80" s="341">
        <f>'Forutsetninger og beregninger'!G129</f>
        <v>0</v>
      </c>
      <c r="G80" s="297" t="s">
        <v>121</v>
      </c>
      <c r="H80" s="66"/>
      <c r="I80" s="283"/>
      <c r="J80" s="38"/>
      <c r="K80" s="38"/>
      <c r="L80" s="42" t="s">
        <v>398</v>
      </c>
      <c r="M80" s="340">
        <f>'Forutsetninger og beregninger'!G121</f>
        <v>0</v>
      </c>
      <c r="N80" s="340">
        <f>'Forutsetninger og beregninger'!K129</f>
        <v>0</v>
      </c>
      <c r="O80" s="298" t="s">
        <v>121</v>
      </c>
      <c r="P80" s="17"/>
    </row>
    <row r="81" spans="1:17" ht="13.5" thickBot="1" x14ac:dyDescent="0.25">
      <c r="A81" s="281"/>
      <c r="B81" s="66"/>
      <c r="C81" s="66"/>
      <c r="D81" s="69"/>
      <c r="E81" s="70"/>
      <c r="F81" s="297"/>
      <c r="G81" s="297"/>
      <c r="H81" s="66"/>
      <c r="I81" s="283"/>
      <c r="J81" s="38"/>
      <c r="K81" s="38"/>
      <c r="L81" s="42" t="s">
        <v>70</v>
      </c>
      <c r="M81" s="299" t="e">
        <f>1-(M80/E80)</f>
        <v>#DIV/0!</v>
      </c>
      <c r="N81" s="299" t="e">
        <f>1-N80/F80</f>
        <v>#DIV/0!</v>
      </c>
      <c r="O81" s="38"/>
      <c r="P81" s="17"/>
    </row>
    <row r="82" spans="1:17" x14ac:dyDescent="0.2">
      <c r="A82" s="281"/>
      <c r="B82" s="66"/>
      <c r="C82" s="66"/>
      <c r="D82" s="66"/>
      <c r="E82" s="66"/>
      <c r="F82" s="66"/>
      <c r="G82" s="66"/>
      <c r="H82" s="66"/>
      <c r="I82" s="283"/>
      <c r="J82" s="38"/>
      <c r="K82" s="38"/>
      <c r="L82" s="42"/>
      <c r="M82" s="38"/>
      <c r="N82" s="38"/>
      <c r="O82" s="38"/>
      <c r="P82" s="17"/>
    </row>
    <row r="83" spans="1:17" x14ac:dyDescent="0.2">
      <c r="A83" s="17"/>
      <c r="B83" s="17"/>
      <c r="C83" s="17"/>
      <c r="D83" s="17"/>
      <c r="E83" s="17"/>
      <c r="F83" s="17"/>
      <c r="G83" s="17"/>
      <c r="H83" s="17"/>
      <c r="I83" s="17"/>
      <c r="J83" s="17"/>
      <c r="K83" s="17"/>
      <c r="L83" s="43"/>
      <c r="M83" s="44"/>
      <c r="N83" s="17"/>
      <c r="O83" s="17"/>
      <c r="P83" s="17"/>
    </row>
    <row r="84" spans="1:17" x14ac:dyDescent="0.2">
      <c r="A84" s="280"/>
      <c r="B84" s="66"/>
      <c r="C84" s="66"/>
      <c r="D84" s="66"/>
      <c r="E84" s="66"/>
      <c r="F84" s="66"/>
      <c r="G84" s="66"/>
      <c r="H84" s="66"/>
      <c r="I84" s="283"/>
      <c r="J84" s="38"/>
      <c r="K84" s="38"/>
      <c r="L84" s="38"/>
      <c r="M84" s="38"/>
      <c r="N84" s="38"/>
      <c r="O84" s="38"/>
      <c r="P84" s="17"/>
    </row>
    <row r="85" spans="1:17" ht="24.75" customHeight="1" x14ac:dyDescent="0.2">
      <c r="A85" s="281"/>
      <c r="B85" s="66"/>
      <c r="C85" s="67" t="s">
        <v>432</v>
      </c>
      <c r="D85" s="66"/>
      <c r="E85" s="66"/>
      <c r="F85" s="66"/>
      <c r="G85" s="66"/>
      <c r="H85" s="66"/>
      <c r="I85" s="283"/>
      <c r="J85" s="38"/>
      <c r="K85" s="59" t="s">
        <v>125</v>
      </c>
      <c r="L85" s="38"/>
      <c r="M85" s="38"/>
      <c r="N85" s="38"/>
      <c r="O85" s="38"/>
      <c r="P85" s="17"/>
    </row>
    <row r="86" spans="1:17" ht="81" customHeight="1" x14ac:dyDescent="0.2">
      <c r="A86" s="281"/>
      <c r="B86" s="66"/>
      <c r="C86" s="482" t="s">
        <v>387</v>
      </c>
      <c r="D86" s="482"/>
      <c r="E86" s="482"/>
      <c r="F86" s="482"/>
      <c r="G86" s="482"/>
      <c r="H86" s="66"/>
      <c r="I86" s="283"/>
      <c r="J86" s="38"/>
      <c r="K86" s="451" t="s">
        <v>80</v>
      </c>
      <c r="L86" s="451"/>
      <c r="M86" s="451"/>
      <c r="N86" s="451"/>
      <c r="O86" s="38"/>
      <c r="P86" s="17"/>
    </row>
    <row r="87" spans="1:17" ht="21" customHeight="1" x14ac:dyDescent="0.2">
      <c r="A87" s="281"/>
      <c r="B87" s="66"/>
      <c r="C87" s="482"/>
      <c r="D87" s="482"/>
      <c r="E87" s="482"/>
      <c r="F87" s="482"/>
      <c r="G87" s="482"/>
      <c r="H87" s="66"/>
      <c r="I87" s="283"/>
      <c r="J87" s="38"/>
      <c r="K87" s="448" t="s">
        <v>81</v>
      </c>
      <c r="L87" s="449"/>
      <c r="M87" s="463" t="s">
        <v>59</v>
      </c>
      <c r="N87" s="464"/>
      <c r="O87" s="47"/>
      <c r="P87" s="75"/>
    </row>
    <row r="88" spans="1:17" x14ac:dyDescent="0.2">
      <c r="A88" s="281"/>
      <c r="B88" s="66"/>
      <c r="C88" s="482"/>
      <c r="D88" s="482"/>
      <c r="E88" s="482"/>
      <c r="F88" s="482"/>
      <c r="G88" s="482"/>
      <c r="H88" s="66"/>
      <c r="I88" s="283"/>
      <c r="J88" s="38"/>
      <c r="K88" s="38"/>
      <c r="L88" s="38"/>
      <c r="M88" s="38"/>
      <c r="N88" s="38"/>
      <c r="O88" s="38"/>
      <c r="P88" s="17"/>
    </row>
    <row r="89" spans="1:17" x14ac:dyDescent="0.2">
      <c r="A89" s="281"/>
      <c r="B89" s="66"/>
      <c r="C89" s="482"/>
      <c r="D89" s="482"/>
      <c r="E89" s="482"/>
      <c r="F89" s="482"/>
      <c r="G89" s="482"/>
      <c r="H89" s="66"/>
      <c r="I89" s="283"/>
      <c r="J89" s="38"/>
      <c r="K89" s="39"/>
      <c r="L89" s="39"/>
      <c r="M89" s="39"/>
      <c r="N89" s="39"/>
      <c r="O89" s="38"/>
      <c r="P89" s="17"/>
    </row>
    <row r="90" spans="1:17" ht="79.5" customHeight="1" x14ac:dyDescent="0.2">
      <c r="A90" s="281"/>
      <c r="B90" s="66"/>
      <c r="C90" s="482"/>
      <c r="D90" s="482"/>
      <c r="E90" s="482"/>
      <c r="F90" s="482"/>
      <c r="G90" s="482"/>
      <c r="H90" s="66"/>
      <c r="I90" s="283"/>
      <c r="J90" s="38"/>
      <c r="K90" s="451" t="s">
        <v>385</v>
      </c>
      <c r="L90" s="450"/>
      <c r="M90" s="450"/>
      <c r="N90" s="450"/>
      <c r="O90" s="38"/>
      <c r="P90" s="17"/>
      <c r="Q90" s="2"/>
    </row>
    <row r="91" spans="1:17" x14ac:dyDescent="0.2">
      <c r="A91" s="281"/>
      <c r="B91" s="66"/>
      <c r="C91" s="66"/>
      <c r="D91" s="66"/>
      <c r="E91" s="66"/>
      <c r="F91" s="66"/>
      <c r="G91" s="66"/>
      <c r="H91" s="66"/>
      <c r="I91" s="283"/>
      <c r="J91" s="38"/>
      <c r="K91" s="45"/>
      <c r="L91" s="45"/>
      <c r="M91" s="45"/>
      <c r="N91" s="45"/>
      <c r="O91" s="38"/>
      <c r="P91" s="17"/>
    </row>
    <row r="92" spans="1:17" x14ac:dyDescent="0.2">
      <c r="A92" s="281"/>
      <c r="B92" s="66"/>
      <c r="C92" s="66"/>
      <c r="D92" s="66"/>
      <c r="E92" s="66"/>
      <c r="F92" s="66"/>
      <c r="G92" s="66"/>
      <c r="H92" s="66"/>
      <c r="I92" s="283"/>
      <c r="J92" s="38"/>
      <c r="K92" s="448" t="s">
        <v>82</v>
      </c>
      <c r="L92" s="449"/>
      <c r="M92" s="452" t="s">
        <v>297</v>
      </c>
      <c r="N92" s="453"/>
      <c r="O92" s="38"/>
      <c r="P92" s="17"/>
    </row>
    <row r="93" spans="1:17" x14ac:dyDescent="0.2">
      <c r="A93" s="281"/>
      <c r="B93" s="66"/>
      <c r="C93" s="66"/>
      <c r="D93" s="66"/>
      <c r="E93" s="66"/>
      <c r="F93" s="66"/>
      <c r="G93" s="66"/>
      <c r="H93" s="66"/>
      <c r="I93" s="283"/>
      <c r="J93" s="38"/>
      <c r="K93" s="45"/>
      <c r="L93" s="45"/>
      <c r="M93" s="45"/>
      <c r="N93" s="45"/>
      <c r="O93" s="38"/>
      <c r="P93" s="17"/>
    </row>
    <row r="94" spans="1:17" ht="27" customHeight="1" x14ac:dyDescent="0.2">
      <c r="A94" s="281"/>
      <c r="B94" s="66"/>
      <c r="C94" s="66"/>
      <c r="D94" s="66"/>
      <c r="E94" s="66"/>
      <c r="F94" s="66"/>
      <c r="G94" s="66"/>
      <c r="H94" s="66"/>
      <c r="I94" s="283"/>
      <c r="J94" s="38"/>
      <c r="K94" s="448" t="s">
        <v>388</v>
      </c>
      <c r="L94" s="449"/>
      <c r="M94" s="452" t="s">
        <v>302</v>
      </c>
      <c r="N94" s="453"/>
      <c r="O94" s="38"/>
      <c r="P94" s="17"/>
      <c r="Q94" s="2"/>
    </row>
    <row r="95" spans="1:17" x14ac:dyDescent="0.2">
      <c r="A95" s="281"/>
      <c r="B95" s="66"/>
      <c r="C95" s="66"/>
      <c r="D95" s="66"/>
      <c r="E95" s="66"/>
      <c r="F95" s="66"/>
      <c r="G95" s="66"/>
      <c r="H95" s="66"/>
      <c r="I95" s="283"/>
      <c r="J95" s="38"/>
      <c r="K95" s="45"/>
      <c r="L95" s="45"/>
      <c r="M95" s="45"/>
      <c r="N95" s="45"/>
      <c r="O95" s="38"/>
      <c r="P95" s="17"/>
    </row>
    <row r="96" spans="1:17" ht="13.5" thickBot="1" x14ac:dyDescent="0.25">
      <c r="A96" s="281"/>
      <c r="B96" s="66"/>
      <c r="C96" s="66"/>
      <c r="D96" s="66"/>
      <c r="E96" s="311" t="s">
        <v>127</v>
      </c>
      <c r="F96" s="311" t="s">
        <v>126</v>
      </c>
      <c r="G96" s="313"/>
      <c r="H96" s="66"/>
      <c r="I96" s="283"/>
      <c r="J96" s="38"/>
      <c r="K96" s="45"/>
      <c r="L96" s="45"/>
      <c r="M96" s="312" t="s">
        <v>127</v>
      </c>
      <c r="N96" s="312" t="s">
        <v>126</v>
      </c>
      <c r="O96" s="38"/>
      <c r="P96" s="17"/>
    </row>
    <row r="97" spans="1:17" ht="13.5" thickBot="1" x14ac:dyDescent="0.25">
      <c r="A97" s="281"/>
      <c r="B97" s="66"/>
      <c r="C97" s="483" t="s">
        <v>398</v>
      </c>
      <c r="D97" s="484"/>
      <c r="E97" s="364">
        <f>'Forutsetninger og beregninger'!H184</f>
        <v>0</v>
      </c>
      <c r="F97" s="364">
        <f>'Forutsetninger og beregninger'!J184</f>
        <v>0</v>
      </c>
      <c r="G97" s="365" t="s">
        <v>121</v>
      </c>
      <c r="H97" s="66"/>
      <c r="I97" s="283"/>
      <c r="J97" s="38"/>
      <c r="K97" s="485" t="s">
        <v>398</v>
      </c>
      <c r="L97" s="486"/>
      <c r="M97" s="361">
        <f>'Forutsetninger og beregninger'!I238</f>
        <v>0</v>
      </c>
      <c r="N97" s="361">
        <f>'Forutsetninger og beregninger'!K238</f>
        <v>0</v>
      </c>
      <c r="O97" s="362" t="s">
        <v>121</v>
      </c>
      <c r="P97" s="17"/>
      <c r="Q97" s="2"/>
    </row>
    <row r="98" spans="1:17" ht="13.5" thickBot="1" x14ac:dyDescent="0.25">
      <c r="A98" s="281"/>
      <c r="B98" s="66"/>
      <c r="C98" s="66"/>
      <c r="D98" s="66"/>
      <c r="E98" s="66"/>
      <c r="F98" s="66"/>
      <c r="G98" s="66"/>
      <c r="H98" s="66"/>
      <c r="I98" s="283"/>
      <c r="J98" s="38"/>
      <c r="K98" s="38"/>
      <c r="L98" s="42" t="s">
        <v>70</v>
      </c>
      <c r="M98" s="299" t="e">
        <f>1-(M97/E97)</f>
        <v>#DIV/0!</v>
      </c>
      <c r="N98" s="299" t="e">
        <f>1-(N97/F97)</f>
        <v>#DIV/0!</v>
      </c>
      <c r="O98" s="298"/>
      <c r="P98" s="17"/>
    </row>
    <row r="99" spans="1:17" x14ac:dyDescent="0.2">
      <c r="A99" s="281"/>
      <c r="B99" s="66"/>
      <c r="C99" s="66"/>
      <c r="D99" s="66"/>
      <c r="E99" s="66"/>
      <c r="F99" s="66"/>
      <c r="G99" s="66"/>
      <c r="H99" s="66"/>
      <c r="I99" s="283"/>
      <c r="J99" s="38"/>
      <c r="K99" s="38"/>
      <c r="L99" s="42"/>
      <c r="M99" s="38"/>
      <c r="N99" s="38"/>
      <c r="O99" s="38"/>
      <c r="P99" s="17"/>
    </row>
    <row r="100" spans="1:17" x14ac:dyDescent="0.2">
      <c r="A100" s="17"/>
      <c r="B100" s="17"/>
      <c r="C100" s="17"/>
      <c r="D100" s="17"/>
      <c r="E100" s="17"/>
      <c r="F100" s="17"/>
      <c r="G100" s="17"/>
      <c r="H100" s="17"/>
      <c r="I100" s="17"/>
      <c r="J100" s="17"/>
      <c r="K100" s="17"/>
      <c r="L100" s="43"/>
      <c r="M100" s="44"/>
      <c r="N100" s="17"/>
      <c r="O100" s="17"/>
      <c r="P100" s="17"/>
    </row>
    <row r="101" spans="1:17" x14ac:dyDescent="0.2">
      <c r="A101" s="280"/>
      <c r="B101" s="66"/>
      <c r="C101" s="66"/>
      <c r="D101" s="66"/>
      <c r="E101" s="66"/>
      <c r="F101" s="66"/>
      <c r="G101" s="66"/>
      <c r="H101" s="66"/>
      <c r="I101" s="283"/>
      <c r="J101" s="38"/>
      <c r="K101" s="38"/>
      <c r="L101" s="38"/>
      <c r="M101" s="38"/>
      <c r="N101" s="38"/>
      <c r="O101" s="38"/>
      <c r="P101" s="17"/>
    </row>
    <row r="102" spans="1:17" x14ac:dyDescent="0.2">
      <c r="A102" s="281"/>
      <c r="B102" s="66"/>
      <c r="C102" s="67" t="s">
        <v>434</v>
      </c>
      <c r="D102" s="66"/>
      <c r="E102" s="66"/>
      <c r="F102" s="66"/>
      <c r="G102" s="66"/>
      <c r="H102" s="66"/>
      <c r="I102" s="283"/>
      <c r="J102" s="38"/>
      <c r="K102" s="59" t="s">
        <v>129</v>
      </c>
      <c r="L102" s="38"/>
      <c r="M102" s="38"/>
      <c r="N102" s="38"/>
      <c r="O102" s="38"/>
      <c r="P102" s="17"/>
    </row>
    <row r="103" spans="1:17" ht="12.75" customHeight="1" x14ac:dyDescent="0.2">
      <c r="A103" s="281"/>
      <c r="B103" s="66"/>
      <c r="C103" s="66"/>
      <c r="D103" s="66"/>
      <c r="E103" s="66"/>
      <c r="F103" s="66"/>
      <c r="G103" s="66"/>
      <c r="H103" s="66"/>
      <c r="I103" s="283"/>
      <c r="J103" s="38"/>
      <c r="K103" s="451"/>
      <c r="L103" s="451"/>
      <c r="M103" s="451"/>
      <c r="N103" s="451"/>
      <c r="O103" s="38"/>
      <c r="P103" s="17"/>
    </row>
    <row r="104" spans="1:17" ht="90.75" customHeight="1" x14ac:dyDescent="0.2">
      <c r="A104" s="281"/>
      <c r="B104" s="66"/>
      <c r="C104" s="482" t="s">
        <v>390</v>
      </c>
      <c r="D104" s="482"/>
      <c r="E104" s="482"/>
      <c r="F104" s="482"/>
      <c r="G104" s="482"/>
      <c r="H104" s="66"/>
      <c r="I104" s="283"/>
      <c r="J104" s="38"/>
      <c r="K104" s="478" t="s">
        <v>405</v>
      </c>
      <c r="L104" s="478"/>
      <c r="M104" s="478"/>
      <c r="N104" s="478"/>
      <c r="O104" s="47"/>
      <c r="P104" s="75"/>
    </row>
    <row r="105" spans="1:17" ht="17.25" customHeight="1" x14ac:dyDescent="0.2">
      <c r="A105" s="281"/>
      <c r="B105" s="66"/>
      <c r="C105" s="482"/>
      <c r="D105" s="482"/>
      <c r="E105" s="482"/>
      <c r="F105" s="482"/>
      <c r="G105" s="482"/>
      <c r="H105" s="66"/>
      <c r="I105" s="283"/>
      <c r="J105" s="38"/>
      <c r="K105" s="448" t="s">
        <v>341</v>
      </c>
      <c r="L105" s="449"/>
      <c r="M105" s="414">
        <v>0</v>
      </c>
      <c r="N105" s="338"/>
      <c r="O105" s="47"/>
      <c r="P105" s="75"/>
    </row>
    <row r="106" spans="1:17" ht="13.5" thickBot="1" x14ac:dyDescent="0.25">
      <c r="A106" s="281"/>
      <c r="B106" s="66"/>
      <c r="C106" s="66"/>
      <c r="D106" s="66"/>
      <c r="E106" s="66"/>
      <c r="F106" s="345"/>
      <c r="G106" s="66"/>
      <c r="H106" s="66"/>
      <c r="I106" s="283"/>
      <c r="J106" s="38"/>
      <c r="K106" s="218"/>
      <c r="L106" s="218"/>
      <c r="M106" s="218"/>
      <c r="N106" s="217"/>
      <c r="O106" s="38"/>
      <c r="P106" s="17"/>
      <c r="Q106" s="2"/>
    </row>
    <row r="107" spans="1:17" x14ac:dyDescent="0.2">
      <c r="A107" s="281"/>
      <c r="B107" s="66"/>
      <c r="C107" s="141" t="s">
        <v>150</v>
      </c>
      <c r="D107" s="142"/>
      <c r="E107" s="143" t="s">
        <v>151</v>
      </c>
      <c r="F107" s="66"/>
      <c r="G107" s="66"/>
      <c r="H107" s="66"/>
      <c r="I107" s="283"/>
      <c r="J107" s="38"/>
      <c r="K107" s="218"/>
      <c r="L107" s="218"/>
      <c r="M107" s="218"/>
      <c r="N107" s="218"/>
      <c r="O107" s="38"/>
      <c r="P107" s="17"/>
      <c r="Q107" s="2"/>
    </row>
    <row r="108" spans="1:17" x14ac:dyDescent="0.2">
      <c r="A108" s="281"/>
      <c r="B108" s="66"/>
      <c r="C108" s="455" t="s">
        <v>112</v>
      </c>
      <c r="D108" s="456"/>
      <c r="E108" s="412"/>
      <c r="F108" s="66"/>
      <c r="G108" s="66"/>
      <c r="H108" s="66"/>
      <c r="I108" s="283"/>
      <c r="J108" s="38"/>
      <c r="K108" s="478"/>
      <c r="L108" s="447"/>
      <c r="M108" s="447"/>
      <c r="N108" s="447"/>
      <c r="O108" s="38"/>
      <c r="P108" s="17"/>
    </row>
    <row r="109" spans="1:17" x14ac:dyDescent="0.2">
      <c r="A109" s="281"/>
      <c r="B109" s="66"/>
      <c r="C109" s="455" t="s">
        <v>113</v>
      </c>
      <c r="D109" s="456"/>
      <c r="E109" s="412"/>
      <c r="F109" s="66"/>
      <c r="G109" s="66"/>
      <c r="H109" s="66"/>
      <c r="I109" s="283"/>
      <c r="J109" s="38"/>
      <c r="K109" s="219"/>
      <c r="L109" s="219"/>
      <c r="M109" s="220"/>
      <c r="N109" s="220"/>
      <c r="O109" s="38"/>
      <c r="P109" s="17"/>
    </row>
    <row r="110" spans="1:17" x14ac:dyDescent="0.2">
      <c r="A110" s="281"/>
      <c r="B110" s="66"/>
      <c r="C110" s="455" t="s">
        <v>114</v>
      </c>
      <c r="D110" s="456"/>
      <c r="E110" s="412"/>
      <c r="F110" s="66"/>
      <c r="G110" s="66"/>
      <c r="H110" s="66"/>
      <c r="I110" s="283"/>
      <c r="J110" s="38"/>
      <c r="K110" s="454"/>
      <c r="L110" s="454"/>
      <c r="M110" s="125"/>
      <c r="N110" s="125"/>
      <c r="O110" s="38"/>
      <c r="P110" s="17"/>
    </row>
    <row r="111" spans="1:17" x14ac:dyDescent="0.2">
      <c r="A111" s="281"/>
      <c r="B111" s="66"/>
      <c r="C111" s="455" t="s">
        <v>115</v>
      </c>
      <c r="D111" s="456"/>
      <c r="E111" s="412"/>
      <c r="F111" s="66"/>
      <c r="G111" s="66"/>
      <c r="H111" s="66"/>
      <c r="I111" s="283"/>
      <c r="J111" s="38"/>
      <c r="K111" s="125"/>
      <c r="L111" s="125"/>
      <c r="M111" s="125"/>
      <c r="N111" s="125"/>
      <c r="O111" s="38"/>
      <c r="P111" s="17"/>
    </row>
    <row r="112" spans="1:17" x14ac:dyDescent="0.2">
      <c r="A112" s="281"/>
      <c r="B112" s="66"/>
      <c r="C112" s="455" t="s">
        <v>116</v>
      </c>
      <c r="D112" s="456"/>
      <c r="E112" s="412"/>
      <c r="F112" s="66"/>
      <c r="G112" s="66"/>
      <c r="H112" s="66"/>
      <c r="I112" s="283"/>
      <c r="J112" s="38"/>
      <c r="K112" s="125"/>
      <c r="L112" s="125"/>
      <c r="M112" s="125"/>
      <c r="N112" s="125"/>
      <c r="O112" s="38"/>
      <c r="P112" s="17"/>
    </row>
    <row r="113" spans="1:17" ht="13.5" thickBot="1" x14ac:dyDescent="0.25">
      <c r="A113" s="281"/>
      <c r="B113" s="66"/>
      <c r="C113" s="480" t="s">
        <v>117</v>
      </c>
      <c r="D113" s="481"/>
      <c r="E113" s="413"/>
      <c r="F113" s="66"/>
      <c r="G113" s="66"/>
      <c r="H113" s="66"/>
      <c r="I113" s="283"/>
      <c r="J113" s="38"/>
      <c r="K113" s="129"/>
      <c r="L113" s="129"/>
      <c r="M113" s="129"/>
      <c r="N113" s="129"/>
      <c r="O113" s="38"/>
      <c r="P113" s="17"/>
    </row>
    <row r="114" spans="1:17" ht="12.75" customHeight="1" thickBot="1" x14ac:dyDescent="0.25">
      <c r="A114" s="281"/>
      <c r="B114" s="66"/>
      <c r="C114" s="480" t="s">
        <v>301</v>
      </c>
      <c r="D114" s="481"/>
      <c r="E114" s="416">
        <f>SUM(E109:E113)</f>
        <v>0</v>
      </c>
      <c r="F114" s="66"/>
      <c r="G114" s="66"/>
      <c r="H114" s="66"/>
      <c r="I114" s="283"/>
      <c r="J114" s="38"/>
      <c r="K114" s="129"/>
      <c r="L114" s="129"/>
      <c r="M114" s="129"/>
      <c r="N114" s="129"/>
      <c r="O114" s="38"/>
      <c r="P114" s="17"/>
    </row>
    <row r="115" spans="1:17" ht="26.25" customHeight="1" thickBot="1" x14ac:dyDescent="0.25">
      <c r="A115" s="281"/>
      <c r="B115" s="66"/>
      <c r="C115" s="69"/>
      <c r="D115" s="66"/>
      <c r="E115" s="66"/>
      <c r="F115" s="66"/>
      <c r="G115" s="66"/>
      <c r="H115" s="66"/>
      <c r="I115" s="283"/>
      <c r="J115" s="38"/>
      <c r="K115" s="246"/>
      <c r="L115" s="246"/>
      <c r="M115" s="246"/>
      <c r="N115" s="246"/>
      <c r="O115" s="38"/>
      <c r="P115" s="17"/>
    </row>
    <row r="116" spans="1:17" ht="13.5" thickBot="1" x14ac:dyDescent="0.25">
      <c r="A116" s="281"/>
      <c r="B116" s="66"/>
      <c r="C116" s="69"/>
      <c r="D116" s="70"/>
      <c r="E116" s="70" t="s">
        <v>398</v>
      </c>
      <c r="F116" s="341">
        <f>'Forutsetninger og beregninger'!F270</f>
        <v>0</v>
      </c>
      <c r="G116" s="297" t="s">
        <v>121</v>
      </c>
      <c r="H116" s="66"/>
      <c r="I116" s="283"/>
      <c r="J116" s="38"/>
      <c r="K116" s="42"/>
      <c r="L116" s="42" t="s">
        <v>398</v>
      </c>
      <c r="M116" s="340">
        <f>'Forutsetninger og beregninger'!E278</f>
        <v>0</v>
      </c>
      <c r="N116" s="298" t="s">
        <v>121</v>
      </c>
      <c r="O116" s="38"/>
      <c r="P116" s="17"/>
    </row>
    <row r="117" spans="1:17" ht="13.5" thickBot="1" x14ac:dyDescent="0.25">
      <c r="A117" s="281"/>
      <c r="B117" s="66"/>
      <c r="C117" s="66"/>
      <c r="D117" s="66"/>
      <c r="E117" s="66"/>
      <c r="F117" s="66"/>
      <c r="G117" s="66"/>
      <c r="H117" s="66"/>
      <c r="I117" s="283"/>
      <c r="J117" s="38"/>
      <c r="K117" s="42"/>
      <c r="L117" s="42" t="s">
        <v>70</v>
      </c>
      <c r="M117" s="299" t="e">
        <f>1-(M116/F116)</f>
        <v>#DIV/0!</v>
      </c>
      <c r="N117" s="298"/>
      <c r="O117" s="38"/>
      <c r="P117" s="17"/>
    </row>
    <row r="118" spans="1:17" x14ac:dyDescent="0.2">
      <c r="A118" s="281"/>
      <c r="B118" s="66"/>
      <c r="C118" s="66"/>
      <c r="D118" s="66"/>
      <c r="E118" s="66"/>
      <c r="F118" s="66"/>
      <c r="G118" s="66"/>
      <c r="H118" s="66"/>
      <c r="I118" s="283"/>
      <c r="J118" s="38"/>
      <c r="K118" s="38"/>
      <c r="L118" s="42"/>
      <c r="M118" s="38"/>
      <c r="N118" s="38"/>
      <c r="O118" s="38"/>
      <c r="P118" s="17"/>
    </row>
    <row r="119" spans="1:17" x14ac:dyDescent="0.2">
      <c r="A119" s="17"/>
      <c r="B119" s="17"/>
      <c r="C119" s="17"/>
      <c r="D119" s="17"/>
      <c r="E119" s="17"/>
      <c r="F119" s="17"/>
      <c r="G119" s="17"/>
      <c r="H119" s="17"/>
      <c r="I119" s="17"/>
      <c r="J119" s="17"/>
      <c r="K119" s="17"/>
      <c r="L119" s="43"/>
      <c r="M119" s="44"/>
      <c r="N119" s="17"/>
      <c r="O119" s="17"/>
      <c r="P119" s="17"/>
    </row>
    <row r="120" spans="1:17" x14ac:dyDescent="0.2">
      <c r="A120" s="280"/>
      <c r="B120" s="66"/>
      <c r="C120" s="66"/>
      <c r="D120" s="66"/>
      <c r="E120" s="66"/>
      <c r="F120" s="66"/>
      <c r="G120" s="66"/>
      <c r="H120" s="66"/>
      <c r="I120" s="283"/>
      <c r="J120" s="38"/>
      <c r="K120" s="216"/>
      <c r="L120" s="38"/>
      <c r="M120" s="38"/>
      <c r="N120" s="38"/>
      <c r="O120" s="38"/>
      <c r="P120" s="17"/>
    </row>
    <row r="121" spans="1:17" x14ac:dyDescent="0.2">
      <c r="A121" s="281"/>
      <c r="B121" s="66"/>
      <c r="C121" s="67" t="s">
        <v>264</v>
      </c>
      <c r="D121" s="66"/>
      <c r="E121" s="66"/>
      <c r="F121" s="66"/>
      <c r="G121" s="66"/>
      <c r="H121" s="66"/>
      <c r="I121" s="283"/>
      <c r="J121" s="38"/>
      <c r="K121" s="59" t="s">
        <v>227</v>
      </c>
      <c r="L121" s="38"/>
      <c r="M121" s="38"/>
      <c r="N121" s="38"/>
      <c r="O121" s="38"/>
      <c r="P121" s="17"/>
    </row>
    <row r="122" spans="1:17" x14ac:dyDescent="0.2">
      <c r="A122" s="281"/>
      <c r="B122" s="66"/>
      <c r="C122" s="458"/>
      <c r="D122" s="458"/>
      <c r="E122" s="458"/>
      <c r="F122" s="458"/>
      <c r="G122" s="458"/>
      <c r="H122" s="66"/>
      <c r="I122" s="283"/>
      <c r="J122" s="38"/>
      <c r="K122" s="128"/>
      <c r="L122" s="128"/>
      <c r="M122" s="128"/>
      <c r="N122" s="128"/>
      <c r="O122" s="38"/>
      <c r="P122" s="17"/>
    </row>
    <row r="123" spans="1:17" ht="15" customHeight="1" x14ac:dyDescent="0.2">
      <c r="A123" s="281"/>
      <c r="B123" s="66"/>
      <c r="C123" s="446" t="s">
        <v>440</v>
      </c>
      <c r="D123" s="446"/>
      <c r="E123" s="446"/>
      <c r="F123" s="446"/>
      <c r="G123" s="446"/>
      <c r="H123" s="66"/>
      <c r="I123" s="283"/>
      <c r="J123" s="38"/>
      <c r="K123" s="241" t="s">
        <v>251</v>
      </c>
      <c r="L123" s="132"/>
      <c r="M123" s="132"/>
      <c r="N123" s="243"/>
      <c r="O123" s="47"/>
      <c r="P123" s="75"/>
      <c r="Q123" s="2"/>
    </row>
    <row r="124" spans="1:17" x14ac:dyDescent="0.2">
      <c r="A124" s="281"/>
      <c r="B124" s="66"/>
      <c r="C124" s="446"/>
      <c r="D124" s="446"/>
      <c r="E124" s="446"/>
      <c r="F124" s="446"/>
      <c r="G124" s="446"/>
      <c r="H124" s="66"/>
      <c r="I124" s="283"/>
      <c r="J124" s="38"/>
      <c r="K124" s="447" t="s">
        <v>441</v>
      </c>
      <c r="L124" s="447"/>
      <c r="M124" s="447"/>
      <c r="N124" s="447"/>
      <c r="O124" s="38"/>
      <c r="P124" s="17"/>
      <c r="Q124" s="2"/>
    </row>
    <row r="125" spans="1:17" ht="38.25" customHeight="1" x14ac:dyDescent="0.2">
      <c r="A125" s="281"/>
      <c r="B125" s="66"/>
      <c r="C125" s="446"/>
      <c r="D125" s="446"/>
      <c r="E125" s="446"/>
      <c r="F125" s="446"/>
      <c r="G125" s="446"/>
      <c r="H125" s="66"/>
      <c r="I125" s="283"/>
      <c r="J125" s="38"/>
      <c r="K125" s="447"/>
      <c r="L125" s="447"/>
      <c r="M125" s="447"/>
      <c r="N125" s="447"/>
      <c r="O125" s="38"/>
      <c r="P125" s="17"/>
      <c r="Q125" s="2"/>
    </row>
    <row r="126" spans="1:17" x14ac:dyDescent="0.2">
      <c r="A126" s="281"/>
      <c r="B126" s="66"/>
      <c r="C126" s="446"/>
      <c r="D126" s="446"/>
      <c r="E126" s="446"/>
      <c r="F126" s="446"/>
      <c r="G126" s="446"/>
      <c r="H126" s="66"/>
      <c r="I126" s="283"/>
      <c r="J126" s="38"/>
      <c r="K126" s="130"/>
      <c r="L126" s="131"/>
      <c r="M126" s="131"/>
      <c r="N126" s="131"/>
      <c r="O126" s="38"/>
      <c r="P126" s="17"/>
      <c r="Q126" s="2"/>
    </row>
    <row r="127" spans="1:17" x14ac:dyDescent="0.2">
      <c r="A127" s="281"/>
      <c r="B127" s="66"/>
      <c r="C127" s="446"/>
      <c r="D127" s="446"/>
      <c r="E127" s="446"/>
      <c r="F127" s="446"/>
      <c r="G127" s="446"/>
      <c r="H127" s="66"/>
      <c r="I127" s="283"/>
      <c r="J127" s="38"/>
      <c r="K127" s="126"/>
      <c r="L127" s="248" t="s">
        <v>286</v>
      </c>
      <c r="M127" s="415" t="s">
        <v>288</v>
      </c>
      <c r="N127" s="131"/>
      <c r="O127" s="38"/>
      <c r="P127" s="17"/>
    </row>
    <row r="128" spans="1:17" x14ac:dyDescent="0.2">
      <c r="A128" s="281"/>
      <c r="B128" s="66"/>
      <c r="C128" s="446"/>
      <c r="D128" s="446"/>
      <c r="E128" s="446"/>
      <c r="F128" s="446"/>
      <c r="G128" s="446"/>
      <c r="H128" s="66"/>
      <c r="I128" s="283"/>
      <c r="J128" s="38"/>
      <c r="K128" s="126"/>
      <c r="L128" s="248"/>
      <c r="M128" s="38"/>
      <c r="N128" s="144"/>
      <c r="O128" s="38"/>
      <c r="P128" s="17"/>
    </row>
    <row r="129" spans="1:17" x14ac:dyDescent="0.2">
      <c r="A129" s="281"/>
      <c r="B129" s="66"/>
      <c r="C129" s="66"/>
      <c r="D129" s="66"/>
      <c r="E129" s="66"/>
      <c r="F129" s="66"/>
      <c r="G129" s="66"/>
      <c r="H129" s="66"/>
      <c r="I129" s="283"/>
      <c r="J129" s="38"/>
      <c r="K129" s="38"/>
      <c r="L129" s="38"/>
      <c r="M129" s="38"/>
      <c r="N129" s="144"/>
      <c r="O129" s="38"/>
      <c r="P129" s="17"/>
    </row>
    <row r="130" spans="1:17" x14ac:dyDescent="0.2">
      <c r="A130" s="281"/>
      <c r="B130" s="66"/>
      <c r="C130" s="66"/>
      <c r="D130" s="66"/>
      <c r="E130" s="66"/>
      <c r="F130" s="66"/>
      <c r="G130" s="66"/>
      <c r="H130" s="66"/>
      <c r="I130" s="283"/>
      <c r="J130" s="38"/>
      <c r="K130" s="457" t="s">
        <v>252</v>
      </c>
      <c r="L130" s="457"/>
      <c r="M130" s="457"/>
      <c r="N130" s="247"/>
      <c r="O130" s="38"/>
      <c r="P130" s="17"/>
      <c r="Q130" s="289"/>
    </row>
    <row r="131" spans="1:17" x14ac:dyDescent="0.2">
      <c r="A131" s="281"/>
      <c r="B131" s="66"/>
      <c r="C131" s="66"/>
      <c r="D131" s="66"/>
      <c r="E131" s="66"/>
      <c r="F131" s="66"/>
      <c r="G131" s="66"/>
      <c r="H131" s="66"/>
      <c r="I131" s="283"/>
      <c r="J131" s="38"/>
      <c r="K131" s="447" t="s">
        <v>439</v>
      </c>
      <c r="L131" s="447"/>
      <c r="M131" s="447"/>
      <c r="N131" s="447"/>
      <c r="O131" s="38"/>
      <c r="P131" s="17"/>
    </row>
    <row r="132" spans="1:17" ht="17.25" customHeight="1" x14ac:dyDescent="0.2">
      <c r="A132" s="281"/>
      <c r="B132" s="66"/>
      <c r="C132" s="66"/>
      <c r="D132" s="66"/>
      <c r="E132" s="66"/>
      <c r="F132" s="66"/>
      <c r="G132" s="66"/>
      <c r="H132" s="66"/>
      <c r="I132" s="283"/>
      <c r="J132" s="38"/>
      <c r="K132" s="447"/>
      <c r="L132" s="447"/>
      <c r="M132" s="447"/>
      <c r="N132" s="447"/>
      <c r="O132" s="38"/>
      <c r="P132" s="17"/>
    </row>
    <row r="133" spans="1:17" x14ac:dyDescent="0.2">
      <c r="A133" s="281"/>
      <c r="B133" s="66"/>
      <c r="C133" s="66"/>
      <c r="D133" s="66"/>
      <c r="E133" s="66"/>
      <c r="F133" s="66"/>
      <c r="G133" s="66"/>
      <c r="H133" s="66"/>
      <c r="I133" s="283"/>
      <c r="J133" s="38"/>
      <c r="K133" s="125"/>
      <c r="L133" s="125"/>
      <c r="M133" s="125"/>
      <c r="N133" s="125"/>
      <c r="O133" s="38"/>
      <c r="P133" s="17"/>
    </row>
    <row r="134" spans="1:17" x14ac:dyDescent="0.2">
      <c r="A134" s="281"/>
      <c r="B134" s="66"/>
      <c r="C134" s="66"/>
      <c r="D134" s="66"/>
      <c r="E134" s="66"/>
      <c r="F134" s="66"/>
      <c r="G134" s="66"/>
      <c r="H134" s="66"/>
      <c r="I134" s="283"/>
      <c r="J134" s="38"/>
      <c r="K134" s="129"/>
      <c r="L134" s="249" t="s">
        <v>287</v>
      </c>
      <c r="M134" s="415" t="s">
        <v>288</v>
      </c>
      <c r="N134" s="129"/>
      <c r="O134" s="38"/>
      <c r="P134" s="17"/>
    </row>
    <row r="135" spans="1:17" x14ac:dyDescent="0.2">
      <c r="A135" s="281"/>
      <c r="B135" s="66"/>
      <c r="C135" s="66"/>
      <c r="D135" s="66"/>
      <c r="E135" s="66"/>
      <c r="F135" s="66"/>
      <c r="G135" s="66"/>
      <c r="H135" s="66"/>
      <c r="I135" s="283"/>
      <c r="J135" s="38"/>
      <c r="K135" s="242"/>
      <c r="L135" s="242"/>
      <c r="M135" s="242"/>
      <c r="N135" s="242"/>
      <c r="O135" s="38"/>
      <c r="P135" s="17"/>
    </row>
    <row r="136" spans="1:17" x14ac:dyDescent="0.2">
      <c r="A136" s="281"/>
      <c r="B136" s="66"/>
      <c r="C136" s="66"/>
      <c r="D136" s="66"/>
      <c r="E136" s="66"/>
      <c r="F136" s="66"/>
      <c r="G136" s="66"/>
      <c r="H136" s="66"/>
      <c r="I136" s="283"/>
      <c r="J136" s="38"/>
      <c r="K136" s="242"/>
      <c r="L136" s="242"/>
      <c r="M136" s="242"/>
      <c r="N136" s="242"/>
      <c r="O136" s="38"/>
      <c r="P136" s="17"/>
    </row>
    <row r="137" spans="1:17" ht="13.5" thickBot="1" x14ac:dyDescent="0.25">
      <c r="A137" s="281"/>
      <c r="B137" s="66"/>
      <c r="C137" s="69"/>
      <c r="D137" s="66"/>
      <c r="E137" s="311" t="s">
        <v>127</v>
      </c>
      <c r="F137" s="311" t="s">
        <v>126</v>
      </c>
      <c r="G137" s="66"/>
      <c r="H137" s="66"/>
      <c r="I137" s="283"/>
      <c r="J137" s="38"/>
      <c r="K137" s="129"/>
      <c r="L137" s="242"/>
      <c r="M137" s="312" t="s">
        <v>127</v>
      </c>
      <c r="N137" s="312" t="s">
        <v>126</v>
      </c>
      <c r="O137" s="38"/>
      <c r="P137" s="17"/>
    </row>
    <row r="138" spans="1:17" ht="13.5" thickBot="1" x14ac:dyDescent="0.25">
      <c r="A138" s="281"/>
      <c r="B138" s="66"/>
      <c r="C138" s="66"/>
      <c r="D138" s="70" t="s">
        <v>398</v>
      </c>
      <c r="E138" s="341" t="e">
        <f>'Forutsetninger og beregninger'!H417</f>
        <v>#N/A</v>
      </c>
      <c r="F138" s="341" t="e">
        <f>'Forutsetninger og beregninger'!J417</f>
        <v>#N/A</v>
      </c>
      <c r="G138" s="297" t="s">
        <v>121</v>
      </c>
      <c r="H138" s="66"/>
      <c r="I138" s="283"/>
      <c r="J138" s="38"/>
      <c r="K138" s="38"/>
      <c r="L138" s="42" t="s">
        <v>398</v>
      </c>
      <c r="M138" s="340" t="e">
        <f>'Forutsetninger og beregninger'!J429</f>
        <v>#N/A</v>
      </c>
      <c r="N138" s="340" t="e">
        <f>'Forutsetninger og beregninger'!L429</f>
        <v>#N/A</v>
      </c>
      <c r="O138" s="298" t="s">
        <v>121</v>
      </c>
      <c r="P138" s="17"/>
    </row>
    <row r="139" spans="1:17" ht="13.5" thickBot="1" x14ac:dyDescent="0.25">
      <c r="A139" s="281"/>
      <c r="B139" s="66"/>
      <c r="C139" s="66"/>
      <c r="D139" s="66"/>
      <c r="E139" s="66"/>
      <c r="F139" s="66"/>
      <c r="G139" s="66"/>
      <c r="H139" s="66"/>
      <c r="I139" s="283"/>
      <c r="J139" s="38"/>
      <c r="K139" s="38"/>
      <c r="L139" s="42" t="s">
        <v>70</v>
      </c>
      <c r="M139" s="299" t="e">
        <f>1-(M138/E138)</f>
        <v>#N/A</v>
      </c>
      <c r="N139" s="299" t="e">
        <f>1-(N138/F138)</f>
        <v>#N/A</v>
      </c>
      <c r="O139" s="298"/>
      <c r="P139" s="17"/>
      <c r="Q139" s="2"/>
    </row>
    <row r="140" spans="1:17" x14ac:dyDescent="0.2">
      <c r="A140" s="281"/>
      <c r="B140" s="66"/>
      <c r="C140" s="66"/>
      <c r="D140" s="66"/>
      <c r="E140" s="66"/>
      <c r="F140" s="66"/>
      <c r="G140" s="66"/>
      <c r="H140" s="66"/>
      <c r="I140" s="283"/>
      <c r="J140" s="38"/>
      <c r="K140" s="38"/>
      <c r="L140" s="42"/>
      <c r="M140" s="38"/>
      <c r="N140" s="38"/>
      <c r="O140" s="38"/>
      <c r="P140" s="17"/>
    </row>
    <row r="141" spans="1:17" x14ac:dyDescent="0.2">
      <c r="A141" s="17"/>
      <c r="B141" s="17"/>
      <c r="C141" s="17"/>
      <c r="D141" s="17"/>
      <c r="E141" s="17"/>
      <c r="F141" s="17"/>
      <c r="G141" s="17"/>
      <c r="H141" s="17"/>
      <c r="I141" s="17"/>
      <c r="J141" s="17"/>
      <c r="K141" s="17"/>
      <c r="L141" s="43"/>
      <c r="M141" s="44"/>
      <c r="N141" s="17"/>
      <c r="O141" s="17"/>
      <c r="P141" s="17"/>
    </row>
    <row r="142" spans="1:17" x14ac:dyDescent="0.2">
      <c r="A142" s="17"/>
      <c r="B142" s="17"/>
      <c r="C142" s="17"/>
      <c r="D142" s="17"/>
      <c r="E142" s="17"/>
      <c r="F142" s="17"/>
      <c r="G142" s="17"/>
      <c r="H142" s="17"/>
      <c r="I142" s="17"/>
      <c r="J142" s="17"/>
      <c r="K142" s="17"/>
      <c r="L142" s="43"/>
      <c r="M142" s="44"/>
      <c r="N142" s="17"/>
      <c r="O142" s="17"/>
      <c r="P142" s="17"/>
    </row>
    <row r="145" spans="6:6" x14ac:dyDescent="0.2">
      <c r="F145" s="215"/>
    </row>
  </sheetData>
  <sheetProtection algorithmName="SHA-512" hashValue="2D0sJhseXbpfnS72fl2+57ZA8T/+LzVl4imolEK3Ps3qB9K0/8bbR418lQzPhp1gRvJeRF4vN7PzEI4udQy7nQ==" saltValue="ETNvyxi5HUcFds6vXpY7Cw==" spinCount="100000" sheet="1" objects="1" scenarios="1"/>
  <mergeCells count="72">
    <mergeCell ref="C32:G32"/>
    <mergeCell ref="C40:C41"/>
    <mergeCell ref="D25:F25"/>
    <mergeCell ref="D24:F24"/>
    <mergeCell ref="E12:G12"/>
    <mergeCell ref="C21:F21"/>
    <mergeCell ref="D23:F23"/>
    <mergeCell ref="D22:F22"/>
    <mergeCell ref="E17:F17"/>
    <mergeCell ref="E16:F16"/>
    <mergeCell ref="E15:F15"/>
    <mergeCell ref="E18:F18"/>
    <mergeCell ref="E19:F19"/>
    <mergeCell ref="E34:E35"/>
    <mergeCell ref="C42:D42"/>
    <mergeCell ref="C43:D43"/>
    <mergeCell ref="E54:G54"/>
    <mergeCell ref="C52:G52"/>
    <mergeCell ref="K87:L87"/>
    <mergeCell ref="K69:L69"/>
    <mergeCell ref="K52:N53"/>
    <mergeCell ref="C68:G69"/>
    <mergeCell ref="C86:G90"/>
    <mergeCell ref="K72:N74"/>
    <mergeCell ref="M59:N59"/>
    <mergeCell ref="K46:L46"/>
    <mergeCell ref="K104:N104"/>
    <mergeCell ref="K105:L105"/>
    <mergeCell ref="M69:N69"/>
    <mergeCell ref="C114:D114"/>
    <mergeCell ref="K54:L54"/>
    <mergeCell ref="C104:G105"/>
    <mergeCell ref="C113:D113"/>
    <mergeCell ref="C112:D112"/>
    <mergeCell ref="C111:D111"/>
    <mergeCell ref="C110:D110"/>
    <mergeCell ref="K108:N108"/>
    <mergeCell ref="C109:D109"/>
    <mergeCell ref="C97:D97"/>
    <mergeCell ref="K97:L97"/>
    <mergeCell ref="A1:P1"/>
    <mergeCell ref="A2:P2"/>
    <mergeCell ref="M87:N87"/>
    <mergeCell ref="K57:N57"/>
    <mergeCell ref="K59:L59"/>
    <mergeCell ref="K86:N86"/>
    <mergeCell ref="C54:D54"/>
    <mergeCell ref="C45:G45"/>
    <mergeCell ref="C4:N4"/>
    <mergeCell ref="K32:N33"/>
    <mergeCell ref="C36:C37"/>
    <mergeCell ref="C38:C39"/>
    <mergeCell ref="D26:F26"/>
    <mergeCell ref="C11:D11"/>
    <mergeCell ref="E11:G11"/>
    <mergeCell ref="C9:M9"/>
    <mergeCell ref="C123:G128"/>
    <mergeCell ref="K124:N125"/>
    <mergeCell ref="K131:N132"/>
    <mergeCell ref="K34:L34"/>
    <mergeCell ref="K38:N41"/>
    <mergeCell ref="K90:N90"/>
    <mergeCell ref="K94:L94"/>
    <mergeCell ref="K92:L92"/>
    <mergeCell ref="M92:N92"/>
    <mergeCell ref="M94:N94"/>
    <mergeCell ref="K110:L110"/>
    <mergeCell ref="C108:D108"/>
    <mergeCell ref="K103:N103"/>
    <mergeCell ref="K130:M130"/>
    <mergeCell ref="K68:N68"/>
    <mergeCell ref="C122:G122"/>
  </mergeCells>
  <dataValidations count="1">
    <dataValidation type="list" allowBlank="1" showInputMessage="1" showErrorMessage="1" sqref="M127 M134" xr:uid="{16D9B7AE-8895-44A2-B8F2-0F7C7243AA06}">
      <formula1>"Nei (default), Ja"</formula1>
    </dataValidation>
  </dataValidations>
  <pageMargins left="0.7" right="0.7" top="0.75" bottom="0.75" header="0.3" footer="0.3"/>
  <pageSetup paperSize="9" scale="37" fitToHeight="0" orientation="portrait" horizontalDpi="4294967293" verticalDpi="0" r:id="rId1"/>
  <extLst>
    <ext xmlns:x14="http://schemas.microsoft.com/office/spreadsheetml/2009/9/main" uri="{CCE6A557-97BC-4b89-ADB6-D9C93CAAB3DF}">
      <x14:dataValidations xmlns:xm="http://schemas.microsoft.com/office/excel/2006/main" count="13">
        <x14:dataValidation type="list" showInputMessage="1" showErrorMessage="1" xr:uid="{81553995-78EF-40EB-B1D7-75AFCE02CCE8}">
          <x14:formula1>
            <xm:f>'Forutsetninger og beregninger'!$C$76:$C$78</xm:f>
          </x14:formula1>
          <xm:sqref>M43</xm:sqref>
        </x14:dataValidation>
        <x14:dataValidation type="list" allowBlank="1" showInputMessage="1" showErrorMessage="1" xr:uid="{2F954A3F-B1C7-4960-816E-8FE1BD161B36}">
          <x14:formula1>
            <xm:f>'Forutsetninger og beregninger'!$C$60:$C$64</xm:f>
          </x14:formula1>
          <xm:sqref>M34</xm:sqref>
        </x14:dataValidation>
        <x14:dataValidation type="list" showInputMessage="1" showErrorMessage="1" xr:uid="{1507DDB0-A2C6-46C2-95EB-A2ED7F7D59F0}">
          <x14:formula1>
            <xm:f>'Forutsetninger og beregninger'!$C$91:$C$93</xm:f>
          </x14:formula1>
          <xm:sqref>M59</xm:sqref>
        </x14:dataValidation>
        <x14:dataValidation type="list" showInputMessage="1" showErrorMessage="1" xr:uid="{9E507D39-F62E-477B-887F-E53D6D66CEDF}">
          <x14:formula1>
            <xm:f>'Forutsetninger og beregninger'!$C$150:$C$152</xm:f>
          </x14:formula1>
          <xm:sqref>M87</xm:sqref>
        </x14:dataValidation>
        <x14:dataValidation type="list" showInputMessage="1" showErrorMessage="1" xr:uid="{38B63E16-5267-4FE1-A6A5-8F6DCFBD690F}">
          <x14:formula1>
            <xm:f>'Forutsetninger og beregninger'!$C$193:$C$194</xm:f>
          </x14:formula1>
          <xm:sqref>M92:N92</xm:sqref>
        </x14:dataValidation>
        <x14:dataValidation type="list" allowBlank="1" showInputMessage="1" showErrorMessage="1" xr:uid="{6EEE0363-2CD5-414C-A4B1-F0A4E4624AEB}">
          <x14:formula1>
            <xm:f>'Forutsetninger og beregninger'!$C$324:$C$328</xm:f>
          </x14:formula1>
          <xm:sqref>G15</xm:sqref>
        </x14:dataValidation>
        <x14:dataValidation type="list" allowBlank="1" showInputMessage="1" showErrorMessage="1" xr:uid="{983DD857-48DD-4BC9-BE0E-9214E603B541}">
          <x14:formula1>
            <xm:f>'Forutsetninger og beregninger'!$E$336:$E$339</xm:f>
          </x14:formula1>
          <xm:sqref>E17</xm:sqref>
        </x14:dataValidation>
        <x14:dataValidation type="list" allowBlank="1" showInputMessage="1" showErrorMessage="1" xr:uid="{4A5CDD8E-657C-4B47-95B7-64889A85A35C}">
          <x14:formula1>
            <xm:f>'Forutsetninger og beregninger'!$C$336:$C$340</xm:f>
          </x14:formula1>
          <xm:sqref>E16:F16</xm:sqref>
        </x14:dataValidation>
        <x14:dataValidation type="list" allowBlank="1" showInputMessage="1" showErrorMessage="1" xr:uid="{557524CA-831A-490B-AE48-7278FD9EB03E}">
          <x14:formula1>
            <xm:f>'Forutsetninger og beregninger'!$D$281:$D$290</xm:f>
          </x14:formula1>
          <xm:sqref>M105</xm:sqref>
        </x14:dataValidation>
        <x14:dataValidation type="list" showInputMessage="1" showErrorMessage="1" xr:uid="{67D170CE-A1D0-440D-B3E9-3E5AAC4906DE}">
          <x14:formula1>
            <xm:f>'Forutsetninger og beregninger'!$C$206:$C$211</xm:f>
          </x14:formula1>
          <xm:sqref>M94:N94</xm:sqref>
        </x14:dataValidation>
        <x14:dataValidation type="list" showInputMessage="1" showErrorMessage="1" xr:uid="{36094522-81A9-4865-B238-BA495A8C2552}">
          <x14:formula1>
            <xm:f>'Forutsetninger og beregninger'!$C$117:$C$118</xm:f>
          </x14:formula1>
          <xm:sqref>M69</xm:sqref>
        </x14:dataValidation>
        <x14:dataValidation type="list" showInputMessage="1" showErrorMessage="1" xr:uid="{D1C56647-235B-4D39-93D2-55CDE99FA857}">
          <x14:formula1>
            <xm:f>'Forutsetninger og beregninger'!$D$132:$D$137</xm:f>
          </x14:formula1>
          <xm:sqref>M76</xm:sqref>
        </x14:dataValidation>
        <x14:dataValidation type="list" allowBlank="1" showInputMessage="1" showErrorMessage="1" xr:uid="{D2605B27-1E0B-47EC-ADF3-F24F717524FD}">
          <x14:formula1>
            <xm:f>'Forutsetninger og beregninger'!$D$98:$D$108</xm:f>
          </x14:formula1>
          <xm:sqref>M54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601F4-2AB6-4955-AB97-45F7CE26A773}">
  <sheetPr>
    <tabColor rgb="FFFF7C80"/>
  </sheetPr>
  <dimension ref="A1:K72"/>
  <sheetViews>
    <sheetView zoomScale="175" zoomScaleNormal="175" workbookViewId="0">
      <selection activeCell="B11" sqref="B11"/>
    </sheetView>
  </sheetViews>
  <sheetFormatPr baseColWidth="10" defaultColWidth="9.140625" defaultRowHeight="15" x14ac:dyDescent="0.25"/>
  <cols>
    <col min="1" max="1" width="1.7109375" customWidth="1"/>
    <col min="2" max="2" width="2.7109375" customWidth="1"/>
    <col min="3" max="3" width="19" customWidth="1"/>
    <col min="4" max="4" width="15.140625" customWidth="1"/>
    <col min="5" max="5" width="15.42578125" customWidth="1"/>
    <col min="6" max="6" width="10.7109375" customWidth="1"/>
    <col min="7" max="7" width="9.28515625" customWidth="1"/>
    <col min="8" max="8" width="8.42578125" customWidth="1"/>
    <col min="9" max="9" width="2.7109375" customWidth="1"/>
    <col min="10" max="10" width="2.140625" customWidth="1"/>
  </cols>
  <sheetData>
    <row r="1" spans="1:10" ht="8.25" customHeight="1" thickBot="1" x14ac:dyDescent="0.3">
      <c r="A1" s="253"/>
      <c r="B1" s="253"/>
      <c r="C1" s="253"/>
      <c r="D1" s="253"/>
      <c r="E1" s="253"/>
      <c r="F1" s="253"/>
      <c r="G1" s="253"/>
      <c r="H1" s="253"/>
      <c r="I1" s="253"/>
      <c r="J1" s="253"/>
    </row>
    <row r="2" spans="1:10" ht="26.25" customHeight="1" x14ac:dyDescent="0.25">
      <c r="A2" s="250"/>
      <c r="B2" s="514" t="s">
        <v>427</v>
      </c>
      <c r="C2" s="515"/>
      <c r="D2" s="515"/>
      <c r="E2" s="515"/>
      <c r="F2" s="515"/>
      <c r="G2" s="250"/>
      <c r="H2" s="250"/>
      <c r="I2" s="250"/>
      <c r="J2" s="250"/>
    </row>
    <row r="3" spans="1:10" ht="22.5" customHeight="1" x14ac:dyDescent="0.25">
      <c r="A3" s="250"/>
      <c r="B3" s="515"/>
      <c r="C3" s="515"/>
      <c r="D3" s="515"/>
      <c r="E3" s="515"/>
      <c r="F3" s="515"/>
      <c r="G3" s="250"/>
      <c r="H3" s="250"/>
      <c r="I3" s="250"/>
      <c r="J3" s="250"/>
    </row>
    <row r="4" spans="1:10" ht="9" customHeight="1" thickBot="1" x14ac:dyDescent="0.3">
      <c r="A4" s="251"/>
      <c r="B4" s="251"/>
      <c r="C4" s="251"/>
      <c r="D4" s="251"/>
      <c r="E4" s="251"/>
      <c r="F4" s="251"/>
      <c r="G4" s="251"/>
      <c r="H4" s="251"/>
      <c r="I4" s="251"/>
      <c r="J4" s="251"/>
    </row>
    <row r="5" spans="1:10" ht="24" customHeight="1" thickBot="1" x14ac:dyDescent="0.3">
      <c r="A5" s="252"/>
      <c r="B5" s="252" t="s">
        <v>428</v>
      </c>
      <c r="C5" s="252"/>
      <c r="D5" s="252"/>
      <c r="E5" s="252"/>
      <c r="F5" s="252"/>
      <c r="G5" s="252"/>
      <c r="H5" s="252"/>
      <c r="I5" s="252"/>
      <c r="J5" s="252"/>
    </row>
    <row r="6" spans="1:10" ht="10.5" customHeight="1" x14ac:dyDescent="0.25">
      <c r="A6" s="254"/>
      <c r="B6" s="254"/>
      <c r="C6" s="254"/>
      <c r="D6" s="254"/>
      <c r="E6" s="254"/>
      <c r="F6" s="254"/>
      <c r="G6" s="254"/>
      <c r="H6" s="254"/>
      <c r="I6" s="254"/>
      <c r="J6" s="254"/>
    </row>
    <row r="7" spans="1:10" x14ac:dyDescent="0.25">
      <c r="A7" s="254"/>
      <c r="B7" s="254"/>
      <c r="C7" s="255" t="s">
        <v>292</v>
      </c>
      <c r="D7" s="268" t="str">
        <f>Utbyggingsinformasjon!E11</f>
        <v>Fyll inn navn</v>
      </c>
      <c r="E7" s="268"/>
      <c r="F7" s="268"/>
      <c r="G7" s="257"/>
      <c r="H7" s="254"/>
      <c r="I7" s="254"/>
      <c r="J7" s="254"/>
    </row>
    <row r="8" spans="1:10" x14ac:dyDescent="0.25">
      <c r="A8" s="254"/>
      <c r="B8" s="254"/>
      <c r="C8" s="255" t="s">
        <v>300</v>
      </c>
      <c r="D8" s="268" t="str">
        <f>Utbyggingsinformasjon!E12</f>
        <v>Fyll inn dato</v>
      </c>
      <c r="E8" s="268"/>
      <c r="F8" s="268"/>
      <c r="G8" s="257"/>
      <c r="H8" s="254"/>
      <c r="I8" s="254"/>
      <c r="J8" s="254"/>
    </row>
    <row r="9" spans="1:10" ht="11.25" customHeight="1" thickBot="1" x14ac:dyDescent="0.3">
      <c r="A9" s="256"/>
      <c r="B9" s="256"/>
      <c r="C9" s="256"/>
      <c r="D9" s="256"/>
      <c r="E9" s="256"/>
      <c r="F9" s="256"/>
      <c r="G9" s="256"/>
      <c r="H9" s="256"/>
      <c r="I9" s="256"/>
      <c r="J9" s="256"/>
    </row>
    <row r="10" spans="1:10" ht="24.75" customHeight="1" thickBot="1" x14ac:dyDescent="0.3">
      <c r="A10" s="252"/>
      <c r="B10" s="252" t="s">
        <v>309</v>
      </c>
      <c r="C10" s="252"/>
      <c r="D10" s="252"/>
      <c r="E10" s="252"/>
      <c r="F10" s="252"/>
      <c r="G10" s="252"/>
      <c r="H10" s="252"/>
      <c r="I10" s="252"/>
      <c r="J10" s="252"/>
    </row>
    <row r="11" spans="1:10" ht="11.25" customHeight="1" x14ac:dyDescent="0.25">
      <c r="A11" s="254"/>
      <c r="B11" s="254"/>
      <c r="C11" s="254"/>
      <c r="D11" s="254"/>
      <c r="E11" s="254"/>
      <c r="F11" s="254"/>
      <c r="G11" s="254"/>
      <c r="H11" s="254"/>
      <c r="I11" s="254"/>
      <c r="J11" s="254"/>
    </row>
    <row r="12" spans="1:10" x14ac:dyDescent="0.25">
      <c r="A12" s="254"/>
      <c r="B12" s="254"/>
      <c r="C12" s="265"/>
      <c r="D12" s="255" t="s">
        <v>293</v>
      </c>
      <c r="E12" s="255"/>
      <c r="F12" s="255" t="s">
        <v>294</v>
      </c>
      <c r="G12" s="255"/>
      <c r="H12" s="254"/>
      <c r="I12" s="254"/>
      <c r="J12" s="254"/>
    </row>
    <row r="13" spans="1:10" x14ac:dyDescent="0.25">
      <c r="A13" s="254"/>
      <c r="B13" s="254"/>
      <c r="C13" s="266" t="s">
        <v>0</v>
      </c>
      <c r="D13" s="314">
        <f>SUM(Utbyggingsinformasjon!E36:E43)</f>
        <v>0</v>
      </c>
      <c r="E13" s="315"/>
      <c r="F13" s="314">
        <f>SUM(Utbyggingsinformasjon!E36:E43)</f>
        <v>0</v>
      </c>
      <c r="G13" s="262"/>
      <c r="H13" s="262"/>
      <c r="I13" s="254"/>
      <c r="J13" s="254"/>
    </row>
    <row r="14" spans="1:10" ht="15.75" x14ac:dyDescent="0.25">
      <c r="A14" s="254"/>
      <c r="B14" s="254"/>
      <c r="C14" s="266" t="s">
        <v>419</v>
      </c>
      <c r="D14" s="314">
        <f>Utbyggingsinformasjon!G44</f>
        <v>0</v>
      </c>
      <c r="E14" s="315"/>
      <c r="F14" s="314">
        <f>Utbyggingsinformasjon!G44-Utbyggingsinformasjon!G44*Utbyggingsinformasjon!M34</f>
        <v>0</v>
      </c>
      <c r="G14" s="262"/>
      <c r="H14" s="262"/>
      <c r="I14" s="254"/>
      <c r="J14" s="254"/>
    </row>
    <row r="15" spans="1:10" x14ac:dyDescent="0.25">
      <c r="A15" s="254"/>
      <c r="B15" s="254"/>
      <c r="C15" s="266" t="s">
        <v>25</v>
      </c>
      <c r="D15" s="260" t="s">
        <v>62</v>
      </c>
      <c r="E15" s="261"/>
      <c r="F15" s="261" t="str">
        <f>Utbyggingsinformasjon!M43</f>
        <v>Lavkarbon B (default)</v>
      </c>
      <c r="G15" s="262"/>
      <c r="H15" s="262"/>
      <c r="I15" s="254"/>
      <c r="J15" s="254"/>
    </row>
    <row r="16" spans="1:10" ht="15.75" x14ac:dyDescent="0.25">
      <c r="A16" s="254"/>
      <c r="B16" s="254"/>
      <c r="C16" s="266" t="s">
        <v>420</v>
      </c>
      <c r="D16" s="260">
        <f>Utbyggingsinformasjon!E54</f>
        <v>0</v>
      </c>
      <c r="E16" s="261"/>
      <c r="F16" s="263">
        <f>Utbyggingsinformasjon!M55</f>
        <v>0</v>
      </c>
      <c r="G16" s="262"/>
      <c r="H16" s="262"/>
      <c r="I16" s="254"/>
      <c r="J16" s="254"/>
    </row>
    <row r="17" spans="1:11" x14ac:dyDescent="0.25">
      <c r="A17" s="254"/>
      <c r="B17" s="254"/>
      <c r="C17" s="266" t="s">
        <v>30</v>
      </c>
      <c r="D17" s="260" t="s">
        <v>103</v>
      </c>
      <c r="E17" s="261"/>
      <c r="F17" s="264" t="str">
        <f>Utbyggingsinformasjon!M59</f>
        <v>Asfaltgrusbetong (default)</v>
      </c>
      <c r="G17" s="262"/>
      <c r="H17" s="262"/>
      <c r="I17" s="254"/>
      <c r="J17" s="254"/>
    </row>
    <row r="18" spans="1:11" x14ac:dyDescent="0.25">
      <c r="A18" s="254"/>
      <c r="B18" s="254"/>
      <c r="C18" s="266" t="s">
        <v>334</v>
      </c>
      <c r="D18" s="260" t="s">
        <v>260</v>
      </c>
      <c r="E18" s="261"/>
      <c r="F18" s="264" t="str">
        <f>Utbyggingsinformasjon!M69</f>
        <v>Byggeplass med fossil diesel (default)</v>
      </c>
      <c r="G18" s="262"/>
      <c r="H18" s="262"/>
      <c r="I18" s="254"/>
      <c r="J18" s="254"/>
    </row>
    <row r="19" spans="1:11" x14ac:dyDescent="0.25">
      <c r="A19" s="254"/>
      <c r="B19" s="254"/>
      <c r="C19" s="266" t="s">
        <v>335</v>
      </c>
      <c r="D19" s="314">
        <f>Utbyggingsinformasjon!F72</f>
        <v>0</v>
      </c>
      <c r="E19" s="261"/>
      <c r="F19" s="314">
        <f>Utbyggingsinformasjon!M77</f>
        <v>0</v>
      </c>
      <c r="G19" s="262"/>
      <c r="H19" s="262"/>
      <c r="I19" s="254"/>
      <c r="J19" s="254"/>
    </row>
    <row r="20" spans="1:11" x14ac:dyDescent="0.25">
      <c r="A20" s="254"/>
      <c r="B20" s="254"/>
      <c r="C20" s="266" t="s">
        <v>295</v>
      </c>
      <c r="D20" s="260" t="s">
        <v>59</v>
      </c>
      <c r="E20" s="261"/>
      <c r="F20" s="264" t="str">
        <f>Utbyggingsinformasjon!M87</f>
        <v>TEK17 (default)</v>
      </c>
      <c r="G20" s="261"/>
      <c r="H20" s="262"/>
      <c r="I20" s="254"/>
      <c r="J20" s="254"/>
    </row>
    <row r="21" spans="1:11" x14ac:dyDescent="0.25">
      <c r="A21" s="254"/>
      <c r="B21" s="254"/>
      <c r="C21" s="266" t="s">
        <v>296</v>
      </c>
      <c r="D21" s="260" t="s">
        <v>297</v>
      </c>
      <c r="E21" s="261"/>
      <c r="F21" s="264" t="str">
        <f>Utbyggingsinformasjon!M92</f>
        <v>Strøm</v>
      </c>
      <c r="G21" s="261"/>
      <c r="H21" s="262"/>
      <c r="I21" s="254"/>
      <c r="J21" s="254"/>
    </row>
    <row r="22" spans="1:11" x14ac:dyDescent="0.25">
      <c r="A22" s="254"/>
      <c r="B22" s="254"/>
      <c r="C22" s="266" t="s">
        <v>298</v>
      </c>
      <c r="D22" s="260" t="s">
        <v>302</v>
      </c>
      <c r="E22" s="261"/>
      <c r="F22" s="264" t="str">
        <f>Utbyggingsinformasjon!M94</f>
        <v>Strøm (panelovn/elkjel)</v>
      </c>
      <c r="G22" s="261"/>
      <c r="H22" s="262"/>
      <c r="I22" s="254"/>
      <c r="J22" s="254"/>
    </row>
    <row r="23" spans="1:11" ht="15.75" x14ac:dyDescent="0.25">
      <c r="A23" s="254"/>
      <c r="B23" s="254"/>
      <c r="C23" s="266" t="s">
        <v>421</v>
      </c>
      <c r="D23" s="314">
        <f>Utbyggingsinformasjon!E114</f>
        <v>0</v>
      </c>
      <c r="E23" s="315"/>
      <c r="F23" s="314">
        <f>Utbyggingsinformasjon!E114-Utbyggingsinformasjon!E114*Utbyggingsinformasjon!M105</f>
        <v>0</v>
      </c>
      <c r="G23" s="261"/>
      <c r="H23" s="261"/>
      <c r="I23" s="254"/>
      <c r="J23" s="254"/>
    </row>
    <row r="24" spans="1:11" x14ac:dyDescent="0.25">
      <c r="A24" s="254"/>
      <c r="B24" s="254"/>
      <c r="C24" s="266" t="s">
        <v>286</v>
      </c>
      <c r="D24" s="261" t="s">
        <v>288</v>
      </c>
      <c r="E24" s="261"/>
      <c r="F24" s="261" t="str">
        <f>Utbyggingsinformasjon!M127</f>
        <v>Nei (default)</v>
      </c>
      <c r="G24" s="261"/>
      <c r="H24" s="261"/>
      <c r="I24" s="254"/>
      <c r="J24" s="254"/>
    </row>
    <row r="25" spans="1:11" x14ac:dyDescent="0.25">
      <c r="A25" s="254"/>
      <c r="B25" s="254"/>
      <c r="C25" s="267" t="s">
        <v>299</v>
      </c>
      <c r="D25" s="3" t="s">
        <v>288</v>
      </c>
      <c r="E25" s="3"/>
      <c r="F25" s="3" t="str">
        <f>Utbyggingsinformasjon!M134</f>
        <v>Nei (default)</v>
      </c>
      <c r="G25" s="3"/>
      <c r="H25" s="3"/>
      <c r="I25" s="254"/>
      <c r="J25" s="254"/>
    </row>
    <row r="26" spans="1:11" ht="12" customHeight="1" thickBot="1" x14ac:dyDescent="0.3">
      <c r="A26" s="254"/>
      <c r="B26" s="254"/>
      <c r="C26" s="254"/>
      <c r="D26" s="254"/>
      <c r="E26" s="254"/>
      <c r="F26" s="254"/>
      <c r="G26" s="254"/>
      <c r="H26" s="254"/>
      <c r="I26" s="254"/>
      <c r="J26" s="254"/>
    </row>
    <row r="27" spans="1:11" ht="23.25" customHeight="1" thickBot="1" x14ac:dyDescent="0.3">
      <c r="A27" s="253"/>
      <c r="B27" s="253" t="s">
        <v>291</v>
      </c>
      <c r="C27" s="253"/>
      <c r="D27" s="253"/>
      <c r="E27" s="253"/>
      <c r="F27" s="253"/>
      <c r="G27" s="253"/>
      <c r="H27" s="253"/>
      <c r="I27" s="253"/>
      <c r="J27" s="253"/>
    </row>
    <row r="28" spans="1:11" ht="11.25" customHeight="1" x14ac:dyDescent="0.25">
      <c r="A28" s="254"/>
      <c r="B28" s="254"/>
      <c r="C28" s="257"/>
      <c r="D28" s="254"/>
      <c r="E28" s="254"/>
      <c r="F28" s="254"/>
      <c r="G28" s="254"/>
      <c r="H28" s="254"/>
      <c r="I28" s="254"/>
      <c r="J28" s="254"/>
    </row>
    <row r="29" spans="1:11" x14ac:dyDescent="0.25">
      <c r="A29" s="254"/>
      <c r="B29" s="254"/>
      <c r="C29" s="259" t="s">
        <v>305</v>
      </c>
      <c r="D29" s="257"/>
      <c r="E29" s="327" t="s">
        <v>293</v>
      </c>
      <c r="F29" s="512" t="s">
        <v>294</v>
      </c>
      <c r="G29" s="512"/>
      <c r="H29" s="258"/>
      <c r="I29" s="254"/>
      <c r="J29" s="254"/>
    </row>
    <row r="30" spans="1:11" x14ac:dyDescent="0.25">
      <c r="A30" s="254"/>
      <c r="B30" s="254"/>
      <c r="C30" s="292" t="s">
        <v>241</v>
      </c>
      <c r="D30" s="292"/>
      <c r="E30" s="441">
        <f>Utbyggingsinformasjon!F46+Utbyggingsinformasjon!F61</f>
        <v>0</v>
      </c>
      <c r="F30" s="510">
        <f>Utbyggingsinformasjon!M46+Utbyggingsinformasjon!M61</f>
        <v>0</v>
      </c>
      <c r="G30" s="510"/>
      <c r="H30" s="292"/>
      <c r="I30" s="254"/>
      <c r="J30" s="254"/>
    </row>
    <row r="31" spans="1:11" x14ac:dyDescent="0.25">
      <c r="A31" s="254"/>
      <c r="B31" s="254"/>
      <c r="C31" s="292" t="s">
        <v>261</v>
      </c>
      <c r="D31" s="292"/>
      <c r="E31" s="441">
        <f>Utbyggingsinformasjon!E80+Utbyggingsinformasjon!F80</f>
        <v>0</v>
      </c>
      <c r="F31" s="510">
        <f>Utbyggingsinformasjon!M80+Utbyggingsinformasjon!N80</f>
        <v>0</v>
      </c>
      <c r="G31" s="510"/>
      <c r="H31" s="292"/>
      <c r="I31" s="254"/>
      <c r="J31" s="254"/>
    </row>
    <row r="32" spans="1:11" x14ac:dyDescent="0.25">
      <c r="A32" s="254"/>
      <c r="B32" s="254"/>
      <c r="C32" s="292" t="s">
        <v>238</v>
      </c>
      <c r="D32" s="292"/>
      <c r="E32" s="441">
        <f>Utbyggingsinformasjon!F97</f>
        <v>0</v>
      </c>
      <c r="F32" s="510">
        <f>Utbyggingsinformasjon!N97</f>
        <v>0</v>
      </c>
      <c r="G32" s="510"/>
      <c r="H32" s="292"/>
      <c r="I32" s="254"/>
      <c r="J32" s="254"/>
      <c r="K32" s="353"/>
    </row>
    <row r="33" spans="1:10" x14ac:dyDescent="0.25">
      <c r="A33" s="254"/>
      <c r="B33" s="254"/>
      <c r="C33" s="292" t="s">
        <v>239</v>
      </c>
      <c r="D33" s="292"/>
      <c r="E33" s="441">
        <f>Utbyggingsinformasjon!F116</f>
        <v>0</v>
      </c>
      <c r="F33" s="510">
        <f>Utbyggingsinformasjon!M116</f>
        <v>0</v>
      </c>
      <c r="G33" s="510"/>
      <c r="H33" s="292"/>
      <c r="I33" s="254"/>
      <c r="J33" s="254"/>
    </row>
    <row r="34" spans="1:10" x14ac:dyDescent="0.25">
      <c r="A34" s="254"/>
      <c r="B34" s="254"/>
      <c r="C34" s="292" t="s">
        <v>240</v>
      </c>
      <c r="D34" s="292"/>
      <c r="E34" s="441" t="e">
        <f>Utbyggingsinformasjon!F138</f>
        <v>#N/A</v>
      </c>
      <c r="F34" s="510" t="e">
        <f>Utbyggingsinformasjon!N138</f>
        <v>#N/A</v>
      </c>
      <c r="G34" s="510"/>
      <c r="H34" s="292"/>
      <c r="I34" s="254"/>
      <c r="J34" s="254"/>
    </row>
    <row r="35" spans="1:10" ht="18" x14ac:dyDescent="0.35">
      <c r="A35" s="254"/>
      <c r="B35" s="254"/>
      <c r="C35" s="291" t="s">
        <v>422</v>
      </c>
      <c r="D35" s="291"/>
      <c r="E35" s="370" t="e">
        <f>SUM(E30:E34)</f>
        <v>#N/A</v>
      </c>
      <c r="F35" s="516" t="e">
        <f>SUM(F30:F34)</f>
        <v>#N/A</v>
      </c>
      <c r="G35" s="516"/>
      <c r="H35" s="292"/>
      <c r="I35" s="254"/>
      <c r="J35" s="254"/>
    </row>
    <row r="36" spans="1:10" ht="25.5" customHeight="1" x14ac:dyDescent="0.25">
      <c r="A36" s="254"/>
      <c r="B36" s="254"/>
      <c r="C36" s="511" t="s">
        <v>423</v>
      </c>
      <c r="D36" s="511"/>
      <c r="E36" s="440" t="e">
        <f>E35/D13</f>
        <v>#N/A</v>
      </c>
      <c r="F36" s="513" t="e">
        <f>F35/F13</f>
        <v>#N/A</v>
      </c>
      <c r="G36" s="513"/>
      <c r="H36" s="292"/>
      <c r="I36" s="254"/>
      <c r="J36" s="254"/>
    </row>
    <row r="37" spans="1:10" x14ac:dyDescent="0.25">
      <c r="A37" s="254"/>
      <c r="B37" s="254"/>
      <c r="C37" s="254"/>
      <c r="D37" s="254"/>
      <c r="E37" s="254"/>
      <c r="F37" s="254"/>
      <c r="G37" s="254"/>
      <c r="H37" s="254"/>
      <c r="I37" s="254"/>
      <c r="J37" s="254"/>
    </row>
    <row r="38" spans="1:10" ht="20.25" customHeight="1" x14ac:dyDescent="0.25">
      <c r="A38" s="257"/>
      <c r="B38" s="257"/>
      <c r="C38" s="293" t="s">
        <v>308</v>
      </c>
      <c r="D38" s="293"/>
      <c r="E38" s="296" t="e">
        <f>F35-E35</f>
        <v>#N/A</v>
      </c>
      <c r="F38" s="293" t="s">
        <v>307</v>
      </c>
      <c r="G38" s="294" t="s">
        <v>304</v>
      </c>
      <c r="H38" s="295" t="e">
        <f>(F35-E35)/E35</f>
        <v>#N/A</v>
      </c>
      <c r="I38" s="257"/>
      <c r="J38" s="257"/>
    </row>
    <row r="39" spans="1:10" x14ac:dyDescent="0.25">
      <c r="A39" s="254"/>
      <c r="B39" s="254"/>
      <c r="C39" s="254"/>
      <c r="D39" s="254"/>
      <c r="E39" s="254"/>
      <c r="F39" s="254"/>
      <c r="G39" s="254"/>
      <c r="H39" s="254"/>
      <c r="I39" s="254"/>
      <c r="J39" s="254"/>
    </row>
    <row r="40" spans="1:10" x14ac:dyDescent="0.25">
      <c r="A40" s="254"/>
      <c r="B40" s="254"/>
      <c r="C40" s="254"/>
      <c r="D40" s="254"/>
      <c r="E40" s="254"/>
      <c r="F40" s="254"/>
      <c r="G40" s="254"/>
      <c r="H40" s="254"/>
      <c r="I40" s="254"/>
      <c r="J40" s="254"/>
    </row>
    <row r="41" spans="1:10" x14ac:dyDescent="0.25">
      <c r="A41" s="254"/>
      <c r="B41" s="254"/>
      <c r="C41" s="254"/>
      <c r="D41" s="254"/>
      <c r="E41" s="254"/>
      <c r="F41" s="254"/>
      <c r="G41" s="254"/>
      <c r="H41" s="254"/>
      <c r="I41" s="254"/>
      <c r="J41" s="254"/>
    </row>
    <row r="42" spans="1:10" x14ac:dyDescent="0.25">
      <c r="A42" s="254"/>
      <c r="B42" s="254"/>
      <c r="C42" s="254"/>
      <c r="D42" s="254"/>
      <c r="E42" s="254"/>
      <c r="F42" s="254"/>
      <c r="G42" s="254"/>
      <c r="H42" s="254"/>
      <c r="I42" s="254"/>
      <c r="J42" s="254"/>
    </row>
    <row r="43" spans="1:10" x14ac:dyDescent="0.25">
      <c r="A43" s="254"/>
      <c r="B43" s="254"/>
      <c r="C43" s="254"/>
      <c r="D43" s="254"/>
      <c r="E43" s="254"/>
      <c r="F43" s="254"/>
      <c r="G43" s="254"/>
      <c r="H43" s="254"/>
      <c r="I43" s="254"/>
      <c r="J43" s="254"/>
    </row>
    <row r="44" spans="1:10" x14ac:dyDescent="0.25">
      <c r="A44" s="254"/>
      <c r="B44" s="254"/>
      <c r="C44" s="254"/>
      <c r="D44" s="254"/>
      <c r="E44" s="254"/>
      <c r="F44" s="254"/>
      <c r="G44" s="254"/>
      <c r="H44" s="254"/>
      <c r="I44" s="254"/>
      <c r="J44" s="254"/>
    </row>
    <row r="45" spans="1:10" x14ac:dyDescent="0.25">
      <c r="A45" s="254"/>
      <c r="B45" s="254"/>
      <c r="C45" s="254"/>
      <c r="D45" s="254"/>
      <c r="E45" s="254"/>
      <c r="F45" s="254"/>
      <c r="G45" s="254"/>
      <c r="H45" s="254"/>
      <c r="I45" s="254"/>
      <c r="J45" s="254"/>
    </row>
    <row r="46" spans="1:10" x14ac:dyDescent="0.25">
      <c r="A46" s="254"/>
      <c r="B46" s="254"/>
      <c r="C46" s="254"/>
      <c r="D46" s="254"/>
      <c r="E46" s="254"/>
      <c r="F46" s="254"/>
      <c r="G46" s="254"/>
      <c r="H46" s="254"/>
      <c r="I46" s="254"/>
      <c r="J46" s="254"/>
    </row>
    <row r="47" spans="1:10" x14ac:dyDescent="0.25">
      <c r="A47" s="254"/>
      <c r="B47" s="254"/>
      <c r="C47" s="254"/>
      <c r="D47" s="254"/>
      <c r="E47" s="254"/>
      <c r="F47" s="254"/>
      <c r="G47" s="254"/>
      <c r="H47" s="254"/>
      <c r="I47" s="254"/>
      <c r="J47" s="254"/>
    </row>
    <row r="48" spans="1:10" x14ac:dyDescent="0.25">
      <c r="A48" s="254"/>
      <c r="B48" s="254"/>
      <c r="C48" s="254"/>
      <c r="D48" s="254"/>
      <c r="E48" s="254"/>
      <c r="F48" s="254"/>
      <c r="G48" s="254"/>
      <c r="H48" s="254"/>
      <c r="I48" s="254"/>
      <c r="J48" s="254"/>
    </row>
    <row r="49" spans="1:10" x14ac:dyDescent="0.25">
      <c r="A49" s="257"/>
      <c r="B49" s="257"/>
      <c r="C49" s="257"/>
      <c r="D49" s="257"/>
      <c r="E49" s="257"/>
      <c r="F49" s="257"/>
      <c r="G49" s="257"/>
      <c r="H49" s="257"/>
      <c r="I49" s="257"/>
      <c r="J49" s="257"/>
    </row>
    <row r="50" spans="1:10" x14ac:dyDescent="0.25">
      <c r="A50" s="254"/>
      <c r="B50" s="254"/>
      <c r="C50" s="254"/>
      <c r="D50" s="254"/>
      <c r="E50" s="254"/>
      <c r="F50" s="254"/>
      <c r="G50" s="254"/>
      <c r="H50" s="254"/>
      <c r="I50" s="254"/>
      <c r="J50" s="254"/>
    </row>
    <row r="51" spans="1:10" x14ac:dyDescent="0.25">
      <c r="A51" s="254"/>
      <c r="B51" s="254"/>
      <c r="C51" s="255" t="s">
        <v>306</v>
      </c>
      <c r="D51" s="257"/>
      <c r="E51" s="324" t="s">
        <v>293</v>
      </c>
      <c r="F51" s="512" t="s">
        <v>294</v>
      </c>
      <c r="G51" s="512"/>
      <c r="H51" s="257"/>
      <c r="I51" s="254"/>
      <c r="J51" s="254"/>
    </row>
    <row r="52" spans="1:10" x14ac:dyDescent="0.25">
      <c r="A52" s="254"/>
      <c r="B52" s="254"/>
      <c r="C52" s="292" t="s">
        <v>241</v>
      </c>
      <c r="D52" s="262"/>
      <c r="E52" s="325">
        <f>Utbyggingsinformasjon!F46+Utbyggingsinformasjon!F61</f>
        <v>0</v>
      </c>
      <c r="F52" s="517">
        <f>Utbyggingsinformasjon!M46+Utbyggingsinformasjon!M61</f>
        <v>0</v>
      </c>
      <c r="G52" s="517"/>
      <c r="H52" s="262"/>
      <c r="I52" s="254"/>
      <c r="J52" s="254"/>
    </row>
    <row r="53" spans="1:10" x14ac:dyDescent="0.25">
      <c r="A53" s="254"/>
      <c r="B53" s="254"/>
      <c r="C53" s="292" t="s">
        <v>261</v>
      </c>
      <c r="D53" s="262"/>
      <c r="E53" s="325">
        <f>Utbyggingsinformasjon!E80+Utbyggingsinformasjon!F80</f>
        <v>0</v>
      </c>
      <c r="F53" s="517">
        <f>Utbyggingsinformasjon!M80+Utbyggingsinformasjon!N80</f>
        <v>0</v>
      </c>
      <c r="G53" s="517"/>
      <c r="H53" s="262"/>
      <c r="I53" s="254"/>
      <c r="J53" s="254"/>
    </row>
    <row r="54" spans="1:10" x14ac:dyDescent="0.25">
      <c r="A54" s="254"/>
      <c r="B54" s="254"/>
      <c r="C54" s="292" t="s">
        <v>238</v>
      </c>
      <c r="D54" s="262"/>
      <c r="E54" s="325">
        <f>Utbyggingsinformasjon!E97</f>
        <v>0</v>
      </c>
      <c r="F54" s="517">
        <f>Utbyggingsinformasjon!M97</f>
        <v>0</v>
      </c>
      <c r="G54" s="517"/>
      <c r="H54" s="262"/>
      <c r="I54" s="254"/>
      <c r="J54" s="254"/>
    </row>
    <row r="55" spans="1:10" x14ac:dyDescent="0.25">
      <c r="A55" s="254"/>
      <c r="B55" s="254"/>
      <c r="C55" s="292" t="s">
        <v>239</v>
      </c>
      <c r="D55" s="262"/>
      <c r="E55" s="325">
        <f>Utbyggingsinformasjon!F116</f>
        <v>0</v>
      </c>
      <c r="F55" s="517">
        <f>Utbyggingsinformasjon!M116</f>
        <v>0</v>
      </c>
      <c r="G55" s="517"/>
      <c r="H55" s="262"/>
      <c r="I55" s="254"/>
      <c r="J55" s="254"/>
    </row>
    <row r="56" spans="1:10" x14ac:dyDescent="0.25">
      <c r="A56" s="254"/>
      <c r="B56" s="254"/>
      <c r="C56" s="292" t="s">
        <v>240</v>
      </c>
      <c r="D56" s="262"/>
      <c r="E56" s="325" t="e">
        <f>Utbyggingsinformasjon!E138</f>
        <v>#N/A</v>
      </c>
      <c r="F56" s="517" t="e">
        <f>Utbyggingsinformasjon!M138</f>
        <v>#N/A</v>
      </c>
      <c r="G56" s="517"/>
      <c r="H56" s="262"/>
      <c r="I56" s="254"/>
      <c r="J56" s="254"/>
    </row>
    <row r="57" spans="1:10" x14ac:dyDescent="0.25">
      <c r="A57" s="254"/>
      <c r="B57" s="254"/>
      <c r="C57" s="290" t="s">
        <v>418</v>
      </c>
      <c r="D57" s="291"/>
      <c r="E57" s="326" t="e">
        <f>SUM(E52:E56)</f>
        <v>#N/A</v>
      </c>
      <c r="F57" s="516" t="e">
        <f>SUM(F52:F56)</f>
        <v>#N/A</v>
      </c>
      <c r="G57" s="516"/>
      <c r="H57" s="262"/>
      <c r="I57" s="254"/>
      <c r="J57" s="254"/>
    </row>
    <row r="58" spans="1:10" ht="26.25" customHeight="1" x14ac:dyDescent="0.25">
      <c r="A58" s="254"/>
      <c r="B58" s="254"/>
      <c r="C58" s="511" t="s">
        <v>423</v>
      </c>
      <c r="D58" s="511"/>
      <c r="E58" s="440" t="e">
        <f>E57/D13</f>
        <v>#N/A</v>
      </c>
      <c r="F58" s="513" t="e">
        <f>F57/F13</f>
        <v>#N/A</v>
      </c>
      <c r="G58" s="513"/>
      <c r="H58" s="262"/>
      <c r="I58" s="254"/>
      <c r="J58" s="254"/>
    </row>
    <row r="59" spans="1:10" x14ac:dyDescent="0.25">
      <c r="A59" s="254"/>
      <c r="B59" s="254"/>
      <c r="C59" s="254"/>
      <c r="D59" s="254"/>
      <c r="E59" s="254"/>
      <c r="F59" s="254"/>
      <c r="G59" s="254"/>
      <c r="H59" s="254"/>
      <c r="I59" s="254"/>
      <c r="J59" s="254"/>
    </row>
    <row r="60" spans="1:10" ht="21" customHeight="1" x14ac:dyDescent="0.25">
      <c r="A60" s="257"/>
      <c r="B60" s="257"/>
      <c r="C60" s="293" t="s">
        <v>308</v>
      </c>
      <c r="D60" s="293"/>
      <c r="E60" s="316" t="e">
        <f>F57-E57</f>
        <v>#N/A</v>
      </c>
      <c r="F60" s="293" t="s">
        <v>307</v>
      </c>
      <c r="G60" s="294" t="s">
        <v>304</v>
      </c>
      <c r="H60" s="295" t="e">
        <f>(F57-E57)/E57</f>
        <v>#N/A</v>
      </c>
      <c r="I60" s="257"/>
      <c r="J60" s="257"/>
    </row>
    <row r="61" spans="1:10" x14ac:dyDescent="0.25">
      <c r="A61" s="254"/>
      <c r="B61" s="254"/>
      <c r="C61" s="254"/>
      <c r="D61" s="254"/>
      <c r="E61" s="254"/>
      <c r="F61" s="254"/>
      <c r="G61" s="254"/>
      <c r="H61" s="254"/>
      <c r="I61" s="254"/>
      <c r="J61" s="254"/>
    </row>
    <row r="62" spans="1:10" x14ac:dyDescent="0.25">
      <c r="A62" s="254"/>
      <c r="B62" s="254"/>
      <c r="C62" s="254"/>
      <c r="D62" s="254"/>
      <c r="E62" s="254"/>
      <c r="F62" s="254"/>
      <c r="G62" s="254"/>
      <c r="H62" s="254"/>
      <c r="I62" s="254"/>
      <c r="J62" s="254"/>
    </row>
    <row r="63" spans="1:10" x14ac:dyDescent="0.25">
      <c r="A63" s="254"/>
      <c r="B63" s="254"/>
      <c r="C63" s="254"/>
      <c r="D63" s="254"/>
      <c r="E63" s="254"/>
      <c r="F63" s="254"/>
      <c r="G63" s="254"/>
      <c r="H63" s="254"/>
      <c r="I63" s="254"/>
      <c r="J63" s="254"/>
    </row>
    <row r="64" spans="1:10" x14ac:dyDescent="0.25">
      <c r="A64" s="254"/>
      <c r="B64" s="254"/>
      <c r="C64" s="254"/>
      <c r="D64" s="254"/>
      <c r="E64" s="254"/>
      <c r="F64" s="254"/>
      <c r="G64" s="254"/>
      <c r="H64" s="254"/>
      <c r="I64" s="254"/>
      <c r="J64" s="254"/>
    </row>
    <row r="65" spans="1:10" x14ac:dyDescent="0.25">
      <c r="A65" s="254"/>
      <c r="B65" s="254"/>
      <c r="C65" s="254"/>
      <c r="D65" s="254"/>
      <c r="E65" s="254"/>
      <c r="F65" s="254"/>
      <c r="G65" s="254"/>
      <c r="H65" s="254"/>
      <c r="I65" s="254"/>
      <c r="J65" s="254"/>
    </row>
    <row r="66" spans="1:10" x14ac:dyDescent="0.25">
      <c r="A66" s="254"/>
      <c r="B66" s="254"/>
      <c r="C66" s="254"/>
      <c r="D66" s="254"/>
      <c r="E66" s="254"/>
      <c r="F66" s="254"/>
      <c r="G66" s="254"/>
      <c r="H66" s="254"/>
      <c r="I66" s="254"/>
      <c r="J66" s="254"/>
    </row>
    <row r="67" spans="1:10" x14ac:dyDescent="0.25">
      <c r="A67" s="254"/>
      <c r="B67" s="254"/>
      <c r="C67" s="254"/>
      <c r="D67" s="254"/>
      <c r="E67" s="254"/>
      <c r="F67" s="254"/>
      <c r="G67" s="254"/>
      <c r="H67" s="254"/>
      <c r="I67" s="254"/>
      <c r="J67" s="254"/>
    </row>
    <row r="68" spans="1:10" x14ac:dyDescent="0.25">
      <c r="A68" s="254"/>
      <c r="B68" s="254"/>
      <c r="C68" s="254"/>
      <c r="D68" s="254"/>
      <c r="E68" s="254"/>
      <c r="F68" s="254"/>
      <c r="G68" s="254"/>
      <c r="H68" s="254"/>
      <c r="I68" s="254"/>
      <c r="J68" s="254"/>
    </row>
    <row r="69" spans="1:10" x14ac:dyDescent="0.25">
      <c r="A69" s="254"/>
      <c r="B69" s="254"/>
      <c r="C69" s="254"/>
      <c r="D69" s="254"/>
      <c r="E69" s="254"/>
      <c r="F69" s="254"/>
      <c r="G69" s="254"/>
      <c r="H69" s="254"/>
      <c r="I69" s="254"/>
      <c r="J69" s="254"/>
    </row>
    <row r="70" spans="1:10" x14ac:dyDescent="0.25">
      <c r="A70" s="254"/>
      <c r="B70" s="254"/>
      <c r="C70" s="254"/>
      <c r="D70" s="254"/>
      <c r="E70" s="254"/>
      <c r="F70" s="254"/>
      <c r="G70" s="254"/>
      <c r="H70" s="254"/>
      <c r="I70" s="254"/>
      <c r="J70" s="254"/>
    </row>
    <row r="71" spans="1:10" ht="15.75" thickBot="1" x14ac:dyDescent="0.3">
      <c r="A71" s="254"/>
      <c r="B71" s="254"/>
      <c r="C71" s="254"/>
      <c r="D71" s="254"/>
      <c r="E71" s="254"/>
      <c r="F71" s="254"/>
      <c r="G71" s="254"/>
      <c r="H71" s="254"/>
      <c r="I71" s="254"/>
      <c r="J71" s="254"/>
    </row>
    <row r="72" spans="1:10" ht="8.25" customHeight="1" thickBot="1" x14ac:dyDescent="0.3">
      <c r="A72" s="253"/>
      <c r="B72" s="253"/>
      <c r="C72" s="253"/>
      <c r="D72" s="253"/>
      <c r="E72" s="253"/>
      <c r="F72" s="253"/>
      <c r="G72" s="253"/>
      <c r="H72" s="253"/>
      <c r="I72" s="253"/>
      <c r="J72" s="253"/>
    </row>
  </sheetData>
  <sheetProtection algorithmName="SHA-512" hashValue="9YYv+Xa44f1r7chjPnPdEbTmMHELVEijorddmoK2tDdEfJUenL1I1tHJBZJs6do0kC0Ysjdnc2KaHBAHWPyfdA==" saltValue="BPPXiyX75bv4/3xABWYJBg==" spinCount="100000" sheet="1" objects="1" scenarios="1"/>
  <mergeCells count="19">
    <mergeCell ref="B2:F3"/>
    <mergeCell ref="F51:G51"/>
    <mergeCell ref="F57:G57"/>
    <mergeCell ref="F56:G56"/>
    <mergeCell ref="F55:G55"/>
    <mergeCell ref="F54:G54"/>
    <mergeCell ref="F53:G53"/>
    <mergeCell ref="F52:G52"/>
    <mergeCell ref="F35:G35"/>
    <mergeCell ref="F34:G34"/>
    <mergeCell ref="F33:G33"/>
    <mergeCell ref="F32:G32"/>
    <mergeCell ref="F31:G31"/>
    <mergeCell ref="F30:G30"/>
    <mergeCell ref="C36:D36"/>
    <mergeCell ref="C58:D58"/>
    <mergeCell ref="F29:G29"/>
    <mergeCell ref="F36:G36"/>
    <mergeCell ref="F58:G58"/>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48001-91ED-467B-8C32-3F0DF7AB0AEA}">
  <sheetPr>
    <tabColor theme="0" tint="-0.249977111117893"/>
  </sheetPr>
  <dimension ref="A1:S474"/>
  <sheetViews>
    <sheetView zoomScale="145" zoomScaleNormal="145" workbookViewId="0">
      <selection activeCell="B11" sqref="B11"/>
    </sheetView>
  </sheetViews>
  <sheetFormatPr baseColWidth="10" defaultColWidth="9.140625" defaultRowHeight="12.75" x14ac:dyDescent="0.2"/>
  <cols>
    <col min="1" max="1" width="3" style="1" customWidth="1"/>
    <col min="2" max="2" width="3.42578125" style="1" customWidth="1"/>
    <col min="3" max="3" width="29.7109375" style="1" customWidth="1"/>
    <col min="4" max="4" width="19.140625" style="1" customWidth="1"/>
    <col min="5" max="5" width="17.42578125" style="1" customWidth="1"/>
    <col min="6" max="6" width="17.7109375" style="1" customWidth="1"/>
    <col min="7" max="7" width="16.5703125" style="1" customWidth="1"/>
    <col min="8" max="8" width="16.42578125" style="1" customWidth="1"/>
    <col min="9" max="9" width="18" style="1" customWidth="1"/>
    <col min="10" max="10" width="16.5703125" style="1" customWidth="1"/>
    <col min="11" max="11" width="17.42578125" style="1" customWidth="1"/>
    <col min="12" max="12" width="14.85546875" style="1" customWidth="1"/>
    <col min="13" max="13" width="3.5703125" style="1" customWidth="1"/>
    <col min="14" max="14" width="4" style="1" customWidth="1"/>
    <col min="15" max="15" width="9.140625" style="1"/>
    <col min="16" max="16" width="8.140625" style="1" bestFit="1" customWidth="1"/>
    <col min="17" max="17" width="9.140625" style="1"/>
    <col min="18" max="18" width="8.85546875" style="1" customWidth="1"/>
    <col min="19" max="19" width="10" style="1" customWidth="1"/>
    <col min="20" max="16384" width="9.140625" style="1"/>
  </cols>
  <sheetData>
    <row r="1" spans="1:14" ht="31.5" customHeight="1" x14ac:dyDescent="0.2">
      <c r="A1" s="459" t="s">
        <v>38</v>
      </c>
      <c r="B1" s="459"/>
      <c r="C1" s="459"/>
      <c r="D1" s="459"/>
      <c r="E1" s="459"/>
      <c r="F1" s="459"/>
      <c r="G1" s="459"/>
      <c r="H1" s="459"/>
      <c r="I1" s="459"/>
      <c r="J1" s="459"/>
      <c r="K1" s="459"/>
      <c r="L1" s="459"/>
      <c r="M1" s="56"/>
      <c r="N1" s="65"/>
    </row>
    <row r="2" spans="1:14" ht="31.5" customHeight="1" thickBot="1" x14ac:dyDescent="0.25">
      <c r="A2" s="561" t="s">
        <v>219</v>
      </c>
      <c r="B2" s="561"/>
      <c r="C2" s="561"/>
      <c r="D2" s="561"/>
      <c r="E2" s="561"/>
      <c r="F2" s="561"/>
      <c r="G2" s="561"/>
      <c r="H2" s="561"/>
      <c r="I2" s="561"/>
      <c r="J2" s="561"/>
      <c r="K2" s="561"/>
      <c r="L2" s="561"/>
      <c r="M2" s="146"/>
      <c r="N2" s="64"/>
    </row>
    <row r="3" spans="1:14" x14ac:dyDescent="0.2">
      <c r="A3" s="17"/>
      <c r="B3" s="197"/>
      <c r="C3" s="197"/>
      <c r="D3" s="197"/>
      <c r="E3" s="197"/>
      <c r="F3" s="197"/>
      <c r="G3" s="197"/>
      <c r="H3" s="197"/>
      <c r="I3" s="197"/>
      <c r="J3" s="197"/>
      <c r="K3" s="197"/>
      <c r="L3" s="197"/>
      <c r="M3" s="197"/>
      <c r="N3" s="17"/>
    </row>
    <row r="4" spans="1:14" x14ac:dyDescent="0.2">
      <c r="A4" s="17"/>
      <c r="B4" s="197"/>
      <c r="C4" s="197" t="s">
        <v>344</v>
      </c>
      <c r="D4" s="197"/>
      <c r="E4" s="197"/>
      <c r="F4" s="197"/>
      <c r="G4" s="197"/>
      <c r="H4" s="197"/>
      <c r="I4" s="197"/>
      <c r="J4" s="197"/>
      <c r="K4" s="197"/>
      <c r="L4" s="197"/>
      <c r="M4" s="197"/>
      <c r="N4" s="17"/>
    </row>
    <row r="5" spans="1:14" ht="23.25" customHeight="1" x14ac:dyDescent="0.2">
      <c r="A5" s="17"/>
      <c r="B5" s="197"/>
      <c r="C5" s="328" t="s">
        <v>343</v>
      </c>
      <c r="D5" s="197"/>
      <c r="E5" s="197"/>
      <c r="F5" s="197"/>
      <c r="G5" s="197"/>
      <c r="H5" s="197"/>
      <c r="I5" s="197"/>
      <c r="J5" s="197"/>
      <c r="K5" s="197"/>
      <c r="L5" s="197"/>
      <c r="M5" s="197"/>
      <c r="N5" s="17"/>
    </row>
    <row r="6" spans="1:14" x14ac:dyDescent="0.2">
      <c r="A6" s="17"/>
      <c r="B6" s="197"/>
      <c r="C6" s="153" t="s">
        <v>211</v>
      </c>
      <c r="D6" s="152"/>
      <c r="E6" s="148"/>
      <c r="F6" s="201" t="s">
        <v>250</v>
      </c>
      <c r="G6" s="202"/>
      <c r="H6" s="202"/>
      <c r="I6" s="203"/>
      <c r="J6" s="31"/>
      <c r="K6" s="31"/>
      <c r="L6" s="197"/>
      <c r="M6" s="197"/>
      <c r="N6" s="17"/>
    </row>
    <row r="7" spans="1:14" x14ac:dyDescent="0.2">
      <c r="A7" s="17"/>
      <c r="B7" s="197"/>
      <c r="C7" s="52" t="s">
        <v>212</v>
      </c>
      <c r="D7" s="151"/>
      <c r="E7" s="184">
        <v>11173</v>
      </c>
      <c r="F7" s="204" t="s">
        <v>213</v>
      </c>
      <c r="G7" s="202"/>
      <c r="H7" s="202"/>
      <c r="I7" s="203"/>
      <c r="J7" s="31"/>
      <c r="K7" s="31"/>
      <c r="L7" s="197"/>
      <c r="M7" s="197"/>
      <c r="N7" s="17"/>
    </row>
    <row r="8" spans="1:14" x14ac:dyDescent="0.2">
      <c r="A8" s="17"/>
      <c r="B8" s="197"/>
      <c r="C8" s="180" t="s">
        <v>214</v>
      </c>
      <c r="D8" s="182"/>
      <c r="E8" s="175">
        <v>27118</v>
      </c>
      <c r="F8" s="179" t="s">
        <v>215</v>
      </c>
      <c r="G8" s="199"/>
      <c r="H8" s="199"/>
      <c r="I8" s="200"/>
      <c r="J8" s="31"/>
      <c r="K8" s="31"/>
      <c r="L8" s="197"/>
      <c r="M8" s="197"/>
      <c r="N8" s="17"/>
    </row>
    <row r="9" spans="1:14" x14ac:dyDescent="0.2">
      <c r="A9" s="17"/>
      <c r="B9" s="197"/>
      <c r="C9" s="52" t="s">
        <v>342</v>
      </c>
      <c r="D9" s="151"/>
      <c r="E9" s="175">
        <v>17054</v>
      </c>
      <c r="F9" s="204" t="s">
        <v>215</v>
      </c>
      <c r="G9" s="202"/>
      <c r="H9" s="202"/>
      <c r="I9" s="203"/>
      <c r="J9" s="31"/>
      <c r="K9" s="31"/>
      <c r="L9" s="197"/>
      <c r="M9" s="197"/>
      <c r="N9" s="17"/>
    </row>
    <row r="10" spans="1:14" x14ac:dyDescent="0.2">
      <c r="A10" s="17"/>
      <c r="B10" s="197"/>
      <c r="C10" s="181" t="s">
        <v>216</v>
      </c>
      <c r="D10" s="3"/>
      <c r="E10" s="176">
        <v>1.9E-2</v>
      </c>
      <c r="F10" s="179" t="s">
        <v>217</v>
      </c>
      <c r="G10" s="199"/>
      <c r="H10" s="199"/>
      <c r="I10" s="200"/>
      <c r="J10" s="31"/>
      <c r="K10" s="31"/>
      <c r="L10" s="197"/>
      <c r="M10" s="197"/>
      <c r="N10" s="17"/>
    </row>
    <row r="11" spans="1:14" x14ac:dyDescent="0.2">
      <c r="A11" s="17"/>
      <c r="B11" s="197"/>
      <c r="C11" s="52" t="s">
        <v>318</v>
      </c>
      <c r="D11" s="151"/>
      <c r="E11" s="185">
        <f>((E9*(1-E10))/E7)</f>
        <v>1.4973573793967598</v>
      </c>
      <c r="F11" s="204" t="s">
        <v>218</v>
      </c>
      <c r="G11" s="202"/>
      <c r="H11" s="202"/>
      <c r="I11" s="203"/>
      <c r="J11" s="31"/>
      <c r="K11" s="31"/>
      <c r="L11" s="197"/>
      <c r="M11" s="197"/>
      <c r="N11" s="17"/>
    </row>
    <row r="12" spans="1:14" x14ac:dyDescent="0.2">
      <c r="A12" s="17"/>
      <c r="B12" s="197"/>
      <c r="C12" s="52" t="s">
        <v>248</v>
      </c>
      <c r="D12" s="151"/>
      <c r="E12" s="205">
        <v>0.2</v>
      </c>
      <c r="F12" s="206" t="s">
        <v>249</v>
      </c>
      <c r="G12" s="191"/>
      <c r="H12" s="191"/>
      <c r="I12" s="190"/>
      <c r="J12" s="197"/>
      <c r="K12" s="197"/>
      <c r="L12" s="197"/>
      <c r="M12" s="197"/>
      <c r="N12" s="17"/>
    </row>
    <row r="13" spans="1:14" ht="13.5" thickBot="1" x14ac:dyDescent="0.25">
      <c r="A13" s="60"/>
      <c r="B13" s="198"/>
      <c r="C13" s="198"/>
      <c r="D13" s="198"/>
      <c r="E13" s="198"/>
      <c r="F13" s="198"/>
      <c r="G13" s="198"/>
      <c r="H13" s="198"/>
      <c r="I13" s="198"/>
      <c r="J13" s="198"/>
      <c r="K13" s="198"/>
      <c r="L13" s="198"/>
      <c r="M13" s="198"/>
      <c r="N13" s="60"/>
    </row>
    <row r="14" spans="1:14" ht="29.25" customHeight="1" thickBot="1" x14ac:dyDescent="0.25">
      <c r="A14" s="561" t="s">
        <v>436</v>
      </c>
      <c r="B14" s="561"/>
      <c r="C14" s="561"/>
      <c r="D14" s="561"/>
      <c r="E14" s="561"/>
      <c r="F14" s="561"/>
      <c r="G14" s="561"/>
      <c r="H14" s="561"/>
      <c r="I14" s="561"/>
      <c r="J14" s="561"/>
      <c r="K14" s="561"/>
      <c r="L14" s="561"/>
      <c r="M14" s="57"/>
      <c r="N14" s="64"/>
    </row>
    <row r="15" spans="1:14" x14ac:dyDescent="0.2">
      <c r="A15" s="17"/>
      <c r="B15" s="3"/>
      <c r="C15" s="13"/>
      <c r="D15" s="3"/>
      <c r="E15" s="3"/>
      <c r="F15" s="3"/>
      <c r="G15" s="3"/>
      <c r="H15" s="3"/>
      <c r="I15" s="3"/>
      <c r="J15" s="3"/>
      <c r="K15" s="3"/>
      <c r="L15" s="3"/>
      <c r="M15" s="3"/>
      <c r="N15" s="17"/>
    </row>
    <row r="16" spans="1:14" ht="56.25" customHeight="1" x14ac:dyDescent="0.2">
      <c r="A16" s="17"/>
      <c r="B16" s="3"/>
      <c r="C16" s="468" t="s">
        <v>122</v>
      </c>
      <c r="D16" s="468"/>
      <c r="E16" s="468"/>
      <c r="F16" s="468"/>
      <c r="G16" s="468"/>
      <c r="H16" s="468"/>
      <c r="I16" s="468"/>
      <c r="J16" s="468"/>
      <c r="K16" s="468"/>
      <c r="L16" s="14"/>
      <c r="M16" s="14"/>
      <c r="N16" s="17"/>
    </row>
    <row r="17" spans="1:16" x14ac:dyDescent="0.2">
      <c r="A17" s="17"/>
      <c r="B17" s="17"/>
      <c r="C17" s="17"/>
      <c r="D17" s="17"/>
      <c r="E17" s="17"/>
      <c r="F17" s="17"/>
      <c r="G17" s="17"/>
      <c r="H17" s="17"/>
      <c r="I17" s="17"/>
      <c r="J17" s="17"/>
      <c r="K17" s="17"/>
      <c r="L17" s="17"/>
      <c r="M17" s="17"/>
      <c r="N17" s="17"/>
    </row>
    <row r="18" spans="1:16" x14ac:dyDescent="0.2">
      <c r="A18" s="17"/>
      <c r="B18" s="3"/>
      <c r="C18" s="3"/>
      <c r="D18" s="3"/>
      <c r="E18" s="3"/>
      <c r="F18" s="3"/>
      <c r="G18" s="3"/>
      <c r="H18" s="3"/>
      <c r="I18" s="3"/>
      <c r="J18" s="3"/>
      <c r="K18" s="3"/>
      <c r="L18" s="3"/>
      <c r="M18" s="3"/>
      <c r="N18" s="17"/>
    </row>
    <row r="19" spans="1:16" x14ac:dyDescent="0.2">
      <c r="A19" s="17"/>
      <c r="B19" s="3"/>
      <c r="C19" s="4" t="s">
        <v>24</v>
      </c>
      <c r="D19" s="3"/>
      <c r="E19" s="3"/>
      <c r="F19" s="3"/>
      <c r="G19" s="3"/>
      <c r="H19" s="3"/>
      <c r="I19" s="3"/>
      <c r="J19" s="3"/>
      <c r="K19" s="3"/>
      <c r="L19" s="3"/>
      <c r="M19" s="3"/>
      <c r="N19" s="17"/>
    </row>
    <row r="20" spans="1:16" ht="42.75" customHeight="1" x14ac:dyDescent="0.2">
      <c r="A20" s="17"/>
      <c r="B20" s="3"/>
      <c r="C20" s="468" t="s">
        <v>345</v>
      </c>
      <c r="D20" s="468"/>
      <c r="E20" s="468"/>
      <c r="F20" s="468"/>
      <c r="G20" s="468"/>
      <c r="H20" s="468"/>
      <c r="I20" s="468"/>
      <c r="J20" s="468"/>
      <c r="K20" s="468"/>
      <c r="L20" s="3"/>
      <c r="M20" s="3"/>
      <c r="N20" s="17"/>
      <c r="O20" s="2"/>
    </row>
    <row r="21" spans="1:16" x14ac:dyDescent="0.2">
      <c r="A21" s="17"/>
      <c r="B21" s="3"/>
      <c r="C21" s="3"/>
      <c r="D21" s="3"/>
      <c r="E21" s="3"/>
      <c r="F21" s="3"/>
      <c r="G21" s="3"/>
      <c r="H21" s="3"/>
      <c r="I21" s="3"/>
      <c r="J21" s="3"/>
      <c r="K21" s="3"/>
      <c r="L21" s="3"/>
      <c r="M21" s="3"/>
      <c r="N21" s="17"/>
    </row>
    <row r="22" spans="1:16" x14ac:dyDescent="0.2">
      <c r="A22" s="17"/>
      <c r="B22" s="3"/>
      <c r="C22" s="331" t="s">
        <v>22</v>
      </c>
      <c r="D22" s="183"/>
      <c r="E22" s="93" t="s">
        <v>2</v>
      </c>
      <c r="F22" s="93" t="s">
        <v>2</v>
      </c>
      <c r="G22" s="93" t="s">
        <v>5</v>
      </c>
      <c r="H22" s="93" t="s">
        <v>6</v>
      </c>
      <c r="I22" s="535" t="s">
        <v>19</v>
      </c>
      <c r="J22" s="591"/>
      <c r="K22" s="536"/>
      <c r="L22" s="3"/>
      <c r="M22" s="3"/>
      <c r="N22" s="17"/>
    </row>
    <row r="23" spans="1:16" x14ac:dyDescent="0.2">
      <c r="A23" s="17"/>
      <c r="B23" s="3"/>
      <c r="C23" s="332"/>
      <c r="D23" s="182"/>
      <c r="E23" s="92" t="s">
        <v>3</v>
      </c>
      <c r="F23" s="92" t="s">
        <v>4</v>
      </c>
      <c r="G23" s="92" t="s">
        <v>97</v>
      </c>
      <c r="H23" s="92" t="s">
        <v>7</v>
      </c>
      <c r="I23" s="94" t="s">
        <v>12</v>
      </c>
      <c r="J23" s="94" t="s">
        <v>20</v>
      </c>
      <c r="K23" s="94" t="s">
        <v>21</v>
      </c>
      <c r="L23" s="3"/>
      <c r="M23" s="3"/>
      <c r="N23" s="17"/>
    </row>
    <row r="24" spans="1:16" x14ac:dyDescent="0.2">
      <c r="A24" s="17"/>
      <c r="B24" s="3"/>
      <c r="C24" s="214" t="s">
        <v>136</v>
      </c>
      <c r="D24" s="210" t="s">
        <v>15</v>
      </c>
      <c r="E24" s="165">
        <v>191</v>
      </c>
      <c r="F24" s="165">
        <v>160</v>
      </c>
      <c r="G24" s="211" t="s">
        <v>17</v>
      </c>
      <c r="H24" s="165" t="s">
        <v>11</v>
      </c>
      <c r="I24" s="193">
        <v>94.705375000000004</v>
      </c>
      <c r="J24" s="193">
        <v>215.72587499999997</v>
      </c>
      <c r="K24" s="193">
        <f t="shared" ref="K24:K31" si="0">SUM(I24:J24)</f>
        <v>310.43124999999998</v>
      </c>
      <c r="L24" s="3"/>
      <c r="M24" s="3"/>
      <c r="N24" s="17"/>
      <c r="O24" s="122"/>
    </row>
    <row r="25" spans="1:16" x14ac:dyDescent="0.2">
      <c r="A25" s="17"/>
      <c r="B25" s="3"/>
      <c r="C25" s="213"/>
      <c r="D25" s="208" t="s">
        <v>14</v>
      </c>
      <c r="E25" s="163">
        <v>287</v>
      </c>
      <c r="F25" s="163">
        <v>240</v>
      </c>
      <c r="G25" s="163" t="s">
        <v>13</v>
      </c>
      <c r="H25" s="163" t="s">
        <v>96</v>
      </c>
      <c r="I25" s="79">
        <v>73.950749999999999</v>
      </c>
      <c r="J25" s="79">
        <v>225.42841666666666</v>
      </c>
      <c r="K25" s="79">
        <f t="shared" si="0"/>
        <v>299.37916666666666</v>
      </c>
      <c r="L25" s="3"/>
      <c r="M25" s="3"/>
      <c r="N25" s="17"/>
      <c r="O25" s="223"/>
    </row>
    <row r="26" spans="1:16" x14ac:dyDescent="0.2">
      <c r="A26" s="17"/>
      <c r="B26" s="3"/>
      <c r="C26" s="209" t="s">
        <v>137</v>
      </c>
      <c r="D26" s="210" t="s">
        <v>15</v>
      </c>
      <c r="E26" s="165">
        <v>191</v>
      </c>
      <c r="F26" s="165">
        <v>160</v>
      </c>
      <c r="G26" s="211" t="s">
        <v>17</v>
      </c>
      <c r="H26" s="165" t="s">
        <v>12</v>
      </c>
      <c r="I26" s="193">
        <v>325.53750000000002</v>
      </c>
      <c r="J26" s="193">
        <v>209.03750000000002</v>
      </c>
      <c r="K26" s="193">
        <f t="shared" si="0"/>
        <v>534.57500000000005</v>
      </c>
      <c r="L26" s="3"/>
      <c r="M26" s="3"/>
      <c r="N26" s="17"/>
      <c r="O26" s="223"/>
    </row>
    <row r="27" spans="1:16" x14ac:dyDescent="0.2">
      <c r="A27" s="17"/>
      <c r="B27" s="3"/>
      <c r="C27" s="212"/>
      <c r="D27" s="208" t="s">
        <v>14</v>
      </c>
      <c r="E27" s="163">
        <v>287</v>
      </c>
      <c r="F27" s="163">
        <v>240</v>
      </c>
      <c r="G27" s="163" t="s">
        <v>13</v>
      </c>
      <c r="H27" s="163" t="s">
        <v>12</v>
      </c>
      <c r="I27" s="79">
        <v>305.46249999999998</v>
      </c>
      <c r="J27" s="79">
        <v>180.29583333333335</v>
      </c>
      <c r="K27" s="79">
        <f t="shared" si="0"/>
        <v>485.75833333333333</v>
      </c>
      <c r="L27" s="3"/>
      <c r="M27" s="3"/>
      <c r="N27" s="17"/>
      <c r="O27" s="223"/>
    </row>
    <row r="28" spans="1:16" x14ac:dyDescent="0.2">
      <c r="A28" s="17"/>
      <c r="B28" s="3"/>
      <c r="C28" s="209" t="s">
        <v>138</v>
      </c>
      <c r="D28" s="210" t="s">
        <v>15</v>
      </c>
      <c r="E28" s="165">
        <v>676</v>
      </c>
      <c r="F28" s="165">
        <v>600</v>
      </c>
      <c r="G28" s="211" t="s">
        <v>17</v>
      </c>
      <c r="H28" s="165" t="s">
        <v>11</v>
      </c>
      <c r="I28" s="193">
        <v>70.728333333333296</v>
      </c>
      <c r="J28" s="193">
        <v>166.4733333333333</v>
      </c>
      <c r="K28" s="193">
        <f t="shared" si="0"/>
        <v>237.2016666666666</v>
      </c>
      <c r="L28" s="3"/>
      <c r="M28" s="3"/>
      <c r="N28" s="17"/>
      <c r="O28" s="223"/>
    </row>
    <row r="29" spans="1:16" x14ac:dyDescent="0.2">
      <c r="A29" s="17"/>
      <c r="B29" s="3"/>
      <c r="C29" s="207"/>
      <c r="D29" s="208" t="s">
        <v>14</v>
      </c>
      <c r="E29" s="163">
        <v>1014</v>
      </c>
      <c r="F29" s="163">
        <v>900</v>
      </c>
      <c r="G29" s="163" t="s">
        <v>13</v>
      </c>
      <c r="H29" s="163" t="s">
        <v>96</v>
      </c>
      <c r="I29" s="79">
        <v>51.831988888888887</v>
      </c>
      <c r="J29" s="79">
        <v>168.76023333333336</v>
      </c>
      <c r="K29" s="79">
        <f t="shared" si="0"/>
        <v>220.59222222222223</v>
      </c>
      <c r="L29" s="3"/>
      <c r="M29" s="3"/>
      <c r="N29" s="17"/>
      <c r="O29" s="223"/>
      <c r="P29" s="223"/>
    </row>
    <row r="30" spans="1:16" x14ac:dyDescent="0.2">
      <c r="A30" s="17"/>
      <c r="B30" s="3"/>
      <c r="C30" s="9" t="s">
        <v>16</v>
      </c>
      <c r="D30" s="7"/>
      <c r="E30" s="97">
        <v>1000</v>
      </c>
      <c r="F30" s="97">
        <v>900</v>
      </c>
      <c r="G30" s="97" t="s">
        <v>98</v>
      </c>
      <c r="H30" s="97" t="s">
        <v>18</v>
      </c>
      <c r="I30" s="80">
        <v>100.20070000000001</v>
      </c>
      <c r="J30" s="80">
        <v>307.07929999999999</v>
      </c>
      <c r="K30" s="80">
        <f t="shared" si="0"/>
        <v>407.28</v>
      </c>
      <c r="L30" s="3"/>
      <c r="M30" s="3"/>
      <c r="N30" s="17"/>
      <c r="O30" s="223"/>
    </row>
    <row r="31" spans="1:16" x14ac:dyDescent="0.2">
      <c r="A31" s="17"/>
      <c r="B31" s="3"/>
      <c r="C31" s="9" t="s">
        <v>128</v>
      </c>
      <c r="D31" s="7"/>
      <c r="E31" s="97">
        <v>1000</v>
      </c>
      <c r="F31" s="97">
        <v>900</v>
      </c>
      <c r="G31" s="97" t="s">
        <v>98</v>
      </c>
      <c r="H31" s="97" t="s">
        <v>96</v>
      </c>
      <c r="I31" s="80">
        <v>85.148899999999998</v>
      </c>
      <c r="J31" s="80">
        <v>207.64</v>
      </c>
      <c r="K31" s="80">
        <f t="shared" si="0"/>
        <v>292.78890000000001</v>
      </c>
      <c r="L31" s="3"/>
      <c r="M31" s="3"/>
      <c r="N31" s="17"/>
      <c r="O31" s="223"/>
    </row>
    <row r="32" spans="1:16" x14ac:dyDescent="0.2">
      <c r="A32" s="17"/>
      <c r="B32" s="3"/>
      <c r="C32" s="3"/>
      <c r="D32" s="3"/>
      <c r="E32" s="3"/>
      <c r="F32" s="3"/>
      <c r="G32" s="3"/>
      <c r="H32" s="3"/>
      <c r="I32" s="3"/>
      <c r="J32" s="3"/>
      <c r="K32" s="3"/>
      <c r="L32" s="3"/>
      <c r="M32" s="3"/>
      <c r="N32" s="17"/>
      <c r="O32" s="223"/>
    </row>
    <row r="33" spans="1:15" x14ac:dyDescent="0.2">
      <c r="A33" s="17"/>
      <c r="B33" s="3"/>
      <c r="C33" s="3"/>
      <c r="D33" s="3"/>
      <c r="E33" s="3"/>
      <c r="F33" s="3"/>
      <c r="G33" s="3"/>
      <c r="H33" s="3"/>
      <c r="I33" s="3"/>
      <c r="J33" s="3"/>
      <c r="K33" s="3"/>
      <c r="L33" s="3"/>
      <c r="M33" s="3"/>
      <c r="N33" s="17"/>
      <c r="O33" s="223"/>
    </row>
    <row r="34" spans="1:15" x14ac:dyDescent="0.2">
      <c r="A34" s="17"/>
      <c r="B34" s="17"/>
      <c r="C34" s="17"/>
      <c r="D34" s="17"/>
      <c r="E34" s="17"/>
      <c r="F34" s="17"/>
      <c r="G34" s="17"/>
      <c r="H34" s="17"/>
      <c r="I34" s="17"/>
      <c r="J34" s="17"/>
      <c r="K34" s="17"/>
      <c r="L34" s="17"/>
      <c r="M34" s="17"/>
      <c r="N34" s="17"/>
    </row>
    <row r="35" spans="1:15" x14ac:dyDescent="0.2">
      <c r="A35" s="17"/>
      <c r="B35" s="3"/>
      <c r="C35" s="3"/>
      <c r="D35" s="3"/>
      <c r="E35" s="3"/>
      <c r="F35" s="3"/>
      <c r="G35" s="3"/>
      <c r="H35" s="3"/>
      <c r="I35" s="3"/>
      <c r="J35" s="3"/>
      <c r="K35" s="3"/>
      <c r="L35" s="3"/>
      <c r="M35" s="3"/>
      <c r="N35" s="17"/>
    </row>
    <row r="36" spans="1:15" x14ac:dyDescent="0.2">
      <c r="A36" s="17"/>
      <c r="B36" s="3"/>
      <c r="C36" s="4" t="s">
        <v>33</v>
      </c>
      <c r="D36" s="3"/>
      <c r="E36" s="3"/>
      <c r="F36" s="3"/>
      <c r="G36" s="3"/>
      <c r="H36" s="3"/>
      <c r="I36" s="3"/>
      <c r="J36" s="3"/>
      <c r="K36" s="3"/>
      <c r="L36" s="3"/>
      <c r="M36" s="3"/>
      <c r="N36" s="17"/>
    </row>
    <row r="37" spans="1:15" ht="27" customHeight="1" x14ac:dyDescent="0.2">
      <c r="A37" s="17"/>
      <c r="B37" s="3"/>
      <c r="C37" s="477" t="s">
        <v>319</v>
      </c>
      <c r="D37" s="477"/>
      <c r="E37" s="477"/>
      <c r="F37" s="477"/>
      <c r="G37" s="477"/>
      <c r="H37" s="477"/>
      <c r="I37" s="477"/>
      <c r="J37" s="477"/>
      <c r="K37" s="477"/>
      <c r="L37" s="3"/>
      <c r="M37" s="3"/>
      <c r="N37" s="17"/>
    </row>
    <row r="38" spans="1:15" x14ac:dyDescent="0.2">
      <c r="A38" s="17"/>
      <c r="B38" s="3"/>
      <c r="C38" s="3"/>
      <c r="D38" s="3"/>
      <c r="E38" s="3"/>
      <c r="F38" s="3"/>
      <c r="G38" s="3"/>
      <c r="H38" s="3"/>
      <c r="I38" s="3"/>
      <c r="J38" s="3"/>
      <c r="K38" s="3"/>
      <c r="L38" s="3"/>
      <c r="M38" s="3"/>
      <c r="N38" s="17"/>
    </row>
    <row r="39" spans="1:15" x14ac:dyDescent="0.2">
      <c r="A39" s="17"/>
      <c r="B39" s="3"/>
      <c r="C39" s="331"/>
      <c r="D39" s="329"/>
      <c r="E39" s="541" t="s">
        <v>262</v>
      </c>
      <c r="F39" s="535" t="s">
        <v>12</v>
      </c>
      <c r="G39" s="536"/>
      <c r="H39" s="535" t="s">
        <v>20</v>
      </c>
      <c r="I39" s="536"/>
      <c r="J39" s="10" t="s">
        <v>21</v>
      </c>
      <c r="K39" s="3"/>
      <c r="L39" s="13"/>
      <c r="M39" s="3"/>
      <c r="N39" s="17"/>
    </row>
    <row r="40" spans="1:15" x14ac:dyDescent="0.2">
      <c r="A40" s="17"/>
      <c r="B40" s="3"/>
      <c r="C40" s="333" t="s">
        <v>22</v>
      </c>
      <c r="D40" s="330"/>
      <c r="E40" s="542"/>
      <c r="F40" s="11" t="s">
        <v>23</v>
      </c>
      <c r="G40" s="11" t="s">
        <v>399</v>
      </c>
      <c r="H40" s="11" t="s">
        <v>23</v>
      </c>
      <c r="I40" s="11" t="s">
        <v>399</v>
      </c>
      <c r="J40" s="11" t="s">
        <v>205</v>
      </c>
      <c r="K40" s="3"/>
      <c r="L40" s="3"/>
      <c r="M40" s="3"/>
      <c r="N40" s="17"/>
    </row>
    <row r="41" spans="1:15" x14ac:dyDescent="0.2">
      <c r="A41" s="17"/>
      <c r="B41" s="3"/>
      <c r="C41" s="334"/>
      <c r="D41" s="189"/>
      <c r="E41" s="584"/>
      <c r="F41" s="112" t="s">
        <v>99</v>
      </c>
      <c r="G41" s="112" t="s">
        <v>110</v>
      </c>
      <c r="H41" s="112" t="s">
        <v>99</v>
      </c>
      <c r="I41" s="112" t="s">
        <v>110</v>
      </c>
      <c r="J41" s="112" t="s">
        <v>110</v>
      </c>
      <c r="K41" s="3"/>
      <c r="L41" s="3"/>
      <c r="M41" s="3"/>
      <c r="N41" s="17"/>
    </row>
    <row r="42" spans="1:15" x14ac:dyDescent="0.2">
      <c r="A42" s="17"/>
      <c r="B42" s="3"/>
      <c r="C42" s="272" t="s">
        <v>136</v>
      </c>
      <c r="D42" s="273" t="s">
        <v>15</v>
      </c>
      <c r="E42" s="420">
        <f>SUM(Utbyggingsinformasjon!G36:G36)</f>
        <v>0</v>
      </c>
      <c r="F42" s="421">
        <f t="shared" ref="F42:F49" si="1">I24</f>
        <v>94.705375000000004</v>
      </c>
      <c r="G42" s="421">
        <f t="shared" ref="G42:G49" si="2">(E42*F42)/1000</f>
        <v>0</v>
      </c>
      <c r="H42" s="421">
        <f t="shared" ref="H42:H49" si="3">J24</f>
        <v>215.72587499999997</v>
      </c>
      <c r="I42" s="421">
        <f t="shared" ref="I42:I49" si="4">(E42*H42)/1000</f>
        <v>0</v>
      </c>
      <c r="J42" s="421">
        <f t="shared" ref="J42:J49" si="5">G42+I42</f>
        <v>0</v>
      </c>
      <c r="K42" s="3"/>
      <c r="L42" s="3"/>
      <c r="M42" s="3"/>
      <c r="N42" s="17"/>
    </row>
    <row r="43" spans="1:15" x14ac:dyDescent="0.2">
      <c r="A43" s="17"/>
      <c r="B43" s="3"/>
      <c r="C43" s="275"/>
      <c r="D43" s="88" t="s">
        <v>14</v>
      </c>
      <c r="E43" s="422">
        <f>SUM(Utbyggingsinformasjon!G37:G37)</f>
        <v>0</v>
      </c>
      <c r="F43" s="423">
        <f t="shared" si="1"/>
        <v>73.950749999999999</v>
      </c>
      <c r="G43" s="423">
        <f t="shared" si="2"/>
        <v>0</v>
      </c>
      <c r="H43" s="423">
        <f t="shared" si="3"/>
        <v>225.42841666666666</v>
      </c>
      <c r="I43" s="423">
        <f t="shared" si="4"/>
        <v>0</v>
      </c>
      <c r="J43" s="423">
        <f t="shared" si="5"/>
        <v>0</v>
      </c>
      <c r="K43" s="3"/>
      <c r="L43" s="3"/>
      <c r="M43" s="3"/>
      <c r="N43" s="17"/>
    </row>
    <row r="44" spans="1:15" x14ac:dyDescent="0.2">
      <c r="A44" s="17"/>
      <c r="B44" s="3"/>
      <c r="C44" s="274" t="s">
        <v>137</v>
      </c>
      <c r="D44" s="273" t="s">
        <v>15</v>
      </c>
      <c r="E44" s="420">
        <f>SUM(Utbyggingsinformasjon!G38:G38)</f>
        <v>0</v>
      </c>
      <c r="F44" s="421">
        <f t="shared" si="1"/>
        <v>325.53750000000002</v>
      </c>
      <c r="G44" s="421">
        <f t="shared" si="2"/>
        <v>0</v>
      </c>
      <c r="H44" s="421">
        <f t="shared" si="3"/>
        <v>209.03750000000002</v>
      </c>
      <c r="I44" s="421">
        <f t="shared" si="4"/>
        <v>0</v>
      </c>
      <c r="J44" s="421">
        <f t="shared" si="5"/>
        <v>0</v>
      </c>
      <c r="K44" s="3"/>
      <c r="L44" s="3"/>
      <c r="M44" s="3"/>
      <c r="N44" s="17"/>
    </row>
    <row r="45" spans="1:15" x14ac:dyDescent="0.2">
      <c r="A45" s="17"/>
      <c r="B45" s="3"/>
      <c r="C45" s="276"/>
      <c r="D45" s="88" t="s">
        <v>14</v>
      </c>
      <c r="E45" s="422">
        <f>SUM(Utbyggingsinformasjon!G39:G39)</f>
        <v>0</v>
      </c>
      <c r="F45" s="423">
        <f t="shared" si="1"/>
        <v>305.46249999999998</v>
      </c>
      <c r="G45" s="423">
        <f t="shared" si="2"/>
        <v>0</v>
      </c>
      <c r="H45" s="423">
        <f t="shared" si="3"/>
        <v>180.29583333333335</v>
      </c>
      <c r="I45" s="423">
        <f t="shared" si="4"/>
        <v>0</v>
      </c>
      <c r="J45" s="423">
        <f t="shared" si="5"/>
        <v>0</v>
      </c>
      <c r="K45" s="3"/>
      <c r="L45" s="3"/>
      <c r="M45" s="3"/>
      <c r="N45" s="17"/>
    </row>
    <row r="46" spans="1:15" x14ac:dyDescent="0.2">
      <c r="A46" s="17"/>
      <c r="B46" s="3"/>
      <c r="C46" s="274" t="s">
        <v>138</v>
      </c>
      <c r="D46" s="273" t="s">
        <v>15</v>
      </c>
      <c r="E46" s="420">
        <f>SUM(Utbyggingsinformasjon!G40:G40)</f>
        <v>0</v>
      </c>
      <c r="F46" s="421">
        <f t="shared" si="1"/>
        <v>70.728333333333296</v>
      </c>
      <c r="G46" s="421">
        <f t="shared" si="2"/>
        <v>0</v>
      </c>
      <c r="H46" s="421">
        <f t="shared" si="3"/>
        <v>166.4733333333333</v>
      </c>
      <c r="I46" s="421">
        <f t="shared" si="4"/>
        <v>0</v>
      </c>
      <c r="J46" s="421">
        <f t="shared" si="5"/>
        <v>0</v>
      </c>
      <c r="K46" s="3"/>
      <c r="L46" s="3"/>
      <c r="M46" s="3"/>
      <c r="N46" s="17"/>
    </row>
    <row r="47" spans="1:15" x14ac:dyDescent="0.2">
      <c r="A47" s="17"/>
      <c r="B47" s="3"/>
      <c r="C47" s="277"/>
      <c r="D47" s="88" t="s">
        <v>14</v>
      </c>
      <c r="E47" s="422">
        <f>SUM(Utbyggingsinformasjon!G41:G41)</f>
        <v>0</v>
      </c>
      <c r="F47" s="423">
        <f t="shared" si="1"/>
        <v>51.831988888888887</v>
      </c>
      <c r="G47" s="423">
        <f t="shared" si="2"/>
        <v>0</v>
      </c>
      <c r="H47" s="423">
        <f t="shared" si="3"/>
        <v>168.76023333333336</v>
      </c>
      <c r="I47" s="423">
        <f t="shared" si="4"/>
        <v>0</v>
      </c>
      <c r="J47" s="423">
        <f t="shared" si="5"/>
        <v>0</v>
      </c>
      <c r="K47" s="3"/>
      <c r="L47" s="3"/>
      <c r="M47" s="3"/>
      <c r="N47" s="17"/>
    </row>
    <row r="48" spans="1:15" x14ac:dyDescent="0.2">
      <c r="A48" s="17"/>
      <c r="B48" s="3"/>
      <c r="C48" s="9" t="s">
        <v>16</v>
      </c>
      <c r="D48" s="7"/>
      <c r="E48" s="424">
        <f>SUM(Utbyggingsinformasjon!G42:G42)</f>
        <v>0</v>
      </c>
      <c r="F48" s="425">
        <f t="shared" si="1"/>
        <v>100.20070000000001</v>
      </c>
      <c r="G48" s="425">
        <f t="shared" si="2"/>
        <v>0</v>
      </c>
      <c r="H48" s="425">
        <f t="shared" si="3"/>
        <v>307.07929999999999</v>
      </c>
      <c r="I48" s="425">
        <f t="shared" si="4"/>
        <v>0</v>
      </c>
      <c r="J48" s="425">
        <f t="shared" si="5"/>
        <v>0</v>
      </c>
      <c r="K48" s="3"/>
      <c r="L48" s="3"/>
      <c r="M48" s="3"/>
      <c r="N48" s="17"/>
    </row>
    <row r="49" spans="1:14" x14ac:dyDescent="0.2">
      <c r="A49" s="17"/>
      <c r="B49" s="3"/>
      <c r="C49" s="9" t="s">
        <v>353</v>
      </c>
      <c r="D49" s="7"/>
      <c r="E49" s="424">
        <f>SUM(Utbyggingsinformasjon!G43:G43)</f>
        <v>0</v>
      </c>
      <c r="F49" s="425">
        <f t="shared" si="1"/>
        <v>85.148899999999998</v>
      </c>
      <c r="G49" s="425">
        <f t="shared" si="2"/>
        <v>0</v>
      </c>
      <c r="H49" s="425">
        <f t="shared" si="3"/>
        <v>207.64</v>
      </c>
      <c r="I49" s="425">
        <f t="shared" si="4"/>
        <v>0</v>
      </c>
      <c r="J49" s="425">
        <f t="shared" si="5"/>
        <v>0</v>
      </c>
      <c r="K49" s="3"/>
      <c r="L49" s="3"/>
      <c r="M49" s="3"/>
      <c r="N49" s="17"/>
    </row>
    <row r="50" spans="1:14" x14ac:dyDescent="0.2">
      <c r="A50" s="17"/>
      <c r="B50" s="3"/>
      <c r="C50" s="3"/>
      <c r="D50" s="3"/>
      <c r="E50" s="3"/>
      <c r="F50" s="196" t="s">
        <v>120</v>
      </c>
      <c r="G50" s="437">
        <f>SUM(G42:G49)</f>
        <v>0</v>
      </c>
      <c r="H50" s="196" t="s">
        <v>120</v>
      </c>
      <c r="I50" s="437">
        <f>SUM(I42:I49)</f>
        <v>0</v>
      </c>
      <c r="J50" s="437">
        <f>SUM(J42:J49)</f>
        <v>0</v>
      </c>
      <c r="K50" s="3"/>
      <c r="L50" s="3"/>
      <c r="M50" s="3"/>
      <c r="N50" s="17"/>
    </row>
    <row r="51" spans="1:14" x14ac:dyDescent="0.2">
      <c r="A51" s="17"/>
      <c r="B51" s="3"/>
      <c r="C51" s="3"/>
      <c r="D51" s="3"/>
      <c r="E51" s="3"/>
      <c r="F51" s="3"/>
      <c r="G51" s="3"/>
      <c r="H51" s="3"/>
      <c r="I51" s="3"/>
      <c r="J51" s="3"/>
      <c r="K51" s="3"/>
      <c r="L51" s="3"/>
      <c r="M51" s="3"/>
      <c r="N51" s="17"/>
    </row>
    <row r="52" spans="1:14" x14ac:dyDescent="0.2">
      <c r="A52" s="17"/>
      <c r="B52" s="3"/>
      <c r="C52" s="3"/>
      <c r="D52" s="3"/>
      <c r="E52" s="3"/>
      <c r="F52" s="3"/>
      <c r="G52" s="3"/>
      <c r="H52" s="3"/>
      <c r="I52" s="3"/>
      <c r="J52" s="3"/>
      <c r="K52" s="3"/>
      <c r="L52" s="3"/>
      <c r="M52" s="3"/>
      <c r="N52" s="17"/>
    </row>
    <row r="53" spans="1:14" x14ac:dyDescent="0.2">
      <c r="A53" s="17"/>
      <c r="B53" s="17"/>
      <c r="C53" s="17"/>
      <c r="D53" s="17"/>
      <c r="E53" s="17"/>
      <c r="F53" s="17"/>
      <c r="G53" s="17"/>
      <c r="H53" s="17"/>
      <c r="I53" s="17"/>
      <c r="J53" s="17"/>
      <c r="K53" s="17"/>
      <c r="L53" s="17"/>
      <c r="M53" s="17"/>
      <c r="N53" s="17"/>
    </row>
    <row r="54" spans="1:14" x14ac:dyDescent="0.2">
      <c r="A54" s="17"/>
      <c r="B54" s="3"/>
      <c r="C54" s="3"/>
      <c r="D54" s="3"/>
      <c r="E54" s="3"/>
      <c r="F54" s="3"/>
      <c r="G54" s="3"/>
      <c r="H54" s="3"/>
      <c r="I54" s="3"/>
      <c r="J54" s="3"/>
      <c r="K54" s="3"/>
      <c r="L54" s="3"/>
      <c r="M54" s="3"/>
      <c r="N54" s="17"/>
    </row>
    <row r="55" spans="1:14" x14ac:dyDescent="0.2">
      <c r="A55" s="17"/>
      <c r="B55" s="3"/>
      <c r="C55" s="4" t="s">
        <v>66</v>
      </c>
      <c r="D55" s="3"/>
      <c r="E55" s="3"/>
      <c r="F55" s="3"/>
      <c r="G55" s="3"/>
      <c r="H55" s="3"/>
      <c r="I55" s="3"/>
      <c r="J55" s="3"/>
      <c r="K55" s="3"/>
      <c r="L55" s="3"/>
      <c r="M55" s="3"/>
      <c r="N55" s="17"/>
    </row>
    <row r="56" spans="1:14" ht="15" customHeight="1" x14ac:dyDescent="0.2">
      <c r="A56" s="17"/>
      <c r="B56" s="3"/>
      <c r="C56" s="468" t="s">
        <v>346</v>
      </c>
      <c r="D56" s="468"/>
      <c r="E56" s="468"/>
      <c r="F56" s="468"/>
      <c r="G56" s="468"/>
      <c r="H56" s="468"/>
      <c r="I56" s="468"/>
      <c r="J56" s="468"/>
      <c r="K56" s="468"/>
      <c r="L56" s="3"/>
      <c r="M56" s="3"/>
      <c r="N56" s="17"/>
    </row>
    <row r="57" spans="1:14" x14ac:dyDescent="0.2">
      <c r="A57" s="17"/>
      <c r="B57" s="3"/>
      <c r="C57" s="3"/>
      <c r="D57" s="3"/>
      <c r="E57" s="3"/>
      <c r="F57" s="3"/>
      <c r="G57" s="3"/>
      <c r="H57" s="3"/>
      <c r="I57" s="3"/>
      <c r="J57" s="3"/>
      <c r="K57" s="3"/>
      <c r="L57" s="3"/>
      <c r="M57" s="3"/>
      <c r="N57" s="17"/>
    </row>
    <row r="58" spans="1:14" x14ac:dyDescent="0.2">
      <c r="A58" s="17"/>
      <c r="B58" s="3"/>
      <c r="C58" s="581" t="s">
        <v>65</v>
      </c>
      <c r="D58" s="581" t="s">
        <v>374</v>
      </c>
      <c r="E58" s="581"/>
      <c r="F58" s="581"/>
      <c r="G58" s="3"/>
      <c r="H58" s="3"/>
      <c r="I58" s="3"/>
      <c r="J58" s="3"/>
      <c r="K58" s="3"/>
      <c r="L58" s="3"/>
      <c r="M58" s="3"/>
      <c r="N58" s="17"/>
    </row>
    <row r="59" spans="1:14" x14ac:dyDescent="0.2">
      <c r="A59" s="17"/>
      <c r="B59" s="3"/>
      <c r="C59" s="581"/>
      <c r="D59" s="94" t="s">
        <v>12</v>
      </c>
      <c r="E59" s="94" t="s">
        <v>20</v>
      </c>
      <c r="F59" s="94" t="s">
        <v>21</v>
      </c>
      <c r="G59" s="3"/>
      <c r="H59" s="3"/>
      <c r="I59" s="3"/>
      <c r="J59" s="3"/>
      <c r="K59" s="3"/>
      <c r="L59" s="3"/>
      <c r="M59" s="3"/>
      <c r="N59" s="17"/>
    </row>
    <row r="60" spans="1:14" x14ac:dyDescent="0.2">
      <c r="A60" s="17"/>
      <c r="B60" s="3"/>
      <c r="C60" s="34">
        <v>0</v>
      </c>
      <c r="D60" s="98">
        <f>G$50*(1-C60)</f>
        <v>0</v>
      </c>
      <c r="E60" s="98">
        <f>I$50*(1-C60)</f>
        <v>0</v>
      </c>
      <c r="F60" s="98">
        <f>D60+E60</f>
        <v>0</v>
      </c>
      <c r="G60" s="3"/>
      <c r="H60" s="3"/>
      <c r="I60" s="3"/>
      <c r="J60" s="3"/>
      <c r="K60" s="3"/>
      <c r="L60" s="3"/>
      <c r="M60" s="3"/>
      <c r="N60" s="17"/>
    </row>
    <row r="61" spans="1:14" x14ac:dyDescent="0.2">
      <c r="A61" s="17"/>
      <c r="B61" s="3"/>
      <c r="C61" s="36">
        <v>0.05</v>
      </c>
      <c r="D61" s="98">
        <f>G$50*(1-C61)</f>
        <v>0</v>
      </c>
      <c r="E61" s="98">
        <f>I$50*(1-C61)</f>
        <v>0</v>
      </c>
      <c r="F61" s="98">
        <f>D61+E61</f>
        <v>0</v>
      </c>
      <c r="G61" s="3"/>
      <c r="H61" s="3"/>
      <c r="I61" s="3"/>
      <c r="J61" s="3"/>
      <c r="K61" s="3"/>
      <c r="L61" s="3"/>
      <c r="M61" s="3"/>
      <c r="N61" s="17"/>
    </row>
    <row r="62" spans="1:14" x14ac:dyDescent="0.2">
      <c r="A62" s="17"/>
      <c r="B62" s="3"/>
      <c r="C62" s="36">
        <v>0.1</v>
      </c>
      <c r="D62" s="98">
        <f>G$50*(1-C62)</f>
        <v>0</v>
      </c>
      <c r="E62" s="98">
        <f>I$50*(1-C62)</f>
        <v>0</v>
      </c>
      <c r="F62" s="98">
        <f>D62+E62</f>
        <v>0</v>
      </c>
      <c r="G62" s="3"/>
      <c r="H62" s="3"/>
      <c r="I62" s="3"/>
      <c r="J62" s="3"/>
      <c r="K62" s="3"/>
      <c r="L62" s="3"/>
      <c r="M62" s="3"/>
      <c r="N62" s="17"/>
    </row>
    <row r="63" spans="1:14" x14ac:dyDescent="0.2">
      <c r="A63" s="17"/>
      <c r="B63" s="3"/>
      <c r="C63" s="28">
        <v>0.15</v>
      </c>
      <c r="D63" s="98">
        <f>G$50*(1-C63)</f>
        <v>0</v>
      </c>
      <c r="E63" s="98">
        <f>I$50*(1-C63)</f>
        <v>0</v>
      </c>
      <c r="F63" s="98">
        <f>D63+E63</f>
        <v>0</v>
      </c>
      <c r="G63" s="3"/>
      <c r="H63" s="3"/>
      <c r="I63" s="3"/>
      <c r="J63" s="3"/>
      <c r="K63" s="3"/>
      <c r="L63" s="3"/>
      <c r="M63" s="3"/>
      <c r="N63" s="17"/>
    </row>
    <row r="64" spans="1:14" x14ac:dyDescent="0.2">
      <c r="A64" s="17"/>
      <c r="B64" s="3"/>
      <c r="C64" s="28">
        <v>0.2</v>
      </c>
      <c r="D64" s="98">
        <f>G$50*(1-C64)</f>
        <v>0</v>
      </c>
      <c r="E64" s="98">
        <f>I$50*(1-C64)</f>
        <v>0</v>
      </c>
      <c r="F64" s="98">
        <f>D64+E64</f>
        <v>0</v>
      </c>
      <c r="G64" s="3"/>
      <c r="H64" s="3"/>
      <c r="I64" s="3"/>
      <c r="J64" s="3"/>
      <c r="K64" s="3"/>
      <c r="L64" s="3"/>
      <c r="M64" s="3"/>
      <c r="N64" s="17"/>
    </row>
    <row r="65" spans="1:15" x14ac:dyDescent="0.2">
      <c r="A65" s="17"/>
      <c r="B65" s="3"/>
      <c r="C65" s="37"/>
      <c r="D65" s="26"/>
      <c r="E65" s="26"/>
      <c r="F65" s="26"/>
      <c r="G65" s="3"/>
      <c r="H65" s="3"/>
      <c r="I65" s="3"/>
      <c r="J65" s="3"/>
      <c r="K65" s="3"/>
      <c r="L65" s="3"/>
      <c r="M65" s="3"/>
      <c r="N65" s="17"/>
    </row>
    <row r="66" spans="1:15" x14ac:dyDescent="0.2">
      <c r="A66" s="17"/>
      <c r="B66" s="3"/>
      <c r="C66" s="4" t="s">
        <v>412</v>
      </c>
      <c r="D66" s="35"/>
      <c r="E66" s="35"/>
      <c r="F66" s="335"/>
      <c r="G66" s="3"/>
      <c r="H66" s="3"/>
      <c r="I66" s="3"/>
      <c r="J66" s="3"/>
      <c r="K66" s="3"/>
      <c r="L66" s="3"/>
      <c r="M66" s="3"/>
      <c r="N66" s="17"/>
    </row>
    <row r="67" spans="1:15" x14ac:dyDescent="0.2">
      <c r="A67" s="17"/>
      <c r="B67" s="3"/>
      <c r="C67" s="375">
        <f>Utbyggingsinformasjon!M34</f>
        <v>0</v>
      </c>
      <c r="D67" s="288">
        <f>VLOOKUP(C67,$C$60:$F$64,2,FALSE)</f>
        <v>0</v>
      </c>
      <c r="E67" s="288">
        <f>VLOOKUP(C67,$C$60:$F$64,3,FALSE)</f>
        <v>0</v>
      </c>
      <c r="F67" s="288">
        <f>VLOOKUP(C67,$C$60:$F$64,4,FALSE)</f>
        <v>0</v>
      </c>
      <c r="G67" s="3"/>
      <c r="H67" s="3"/>
      <c r="I67" s="3"/>
      <c r="J67" s="3"/>
      <c r="K67" s="3"/>
      <c r="L67" s="3"/>
      <c r="M67" s="3"/>
      <c r="N67" s="17"/>
    </row>
    <row r="68" spans="1:15" x14ac:dyDescent="0.2">
      <c r="A68" s="17"/>
      <c r="B68" s="3"/>
      <c r="C68" s="3"/>
      <c r="D68" s="3"/>
      <c r="E68" s="3"/>
      <c r="F68" s="3"/>
      <c r="G68" s="3"/>
      <c r="H68" s="3"/>
      <c r="I68" s="3"/>
      <c r="J68" s="3"/>
      <c r="K68" s="3"/>
      <c r="L68" s="3"/>
      <c r="M68" s="3"/>
      <c r="N68" s="17"/>
    </row>
    <row r="69" spans="1:15" x14ac:dyDescent="0.2">
      <c r="A69" s="17"/>
      <c r="B69" s="17"/>
      <c r="C69" s="17"/>
      <c r="D69" s="17"/>
      <c r="E69" s="17"/>
      <c r="F69" s="17"/>
      <c r="G69" s="17"/>
      <c r="H69" s="17"/>
      <c r="I69" s="17"/>
      <c r="J69" s="17"/>
      <c r="K69" s="17"/>
      <c r="L69" s="17"/>
      <c r="M69" s="17"/>
      <c r="N69" s="17"/>
    </row>
    <row r="70" spans="1:15" x14ac:dyDescent="0.2">
      <c r="A70" s="17"/>
      <c r="B70" s="3"/>
      <c r="C70" s="3"/>
      <c r="D70" s="3"/>
      <c r="E70" s="3"/>
      <c r="F70" s="3"/>
      <c r="G70" s="3"/>
      <c r="H70" s="3"/>
      <c r="I70" s="3"/>
      <c r="J70" s="3"/>
      <c r="K70" s="3"/>
      <c r="L70" s="3"/>
      <c r="M70" s="3"/>
      <c r="N70" s="17"/>
    </row>
    <row r="71" spans="1:15" x14ac:dyDescent="0.2">
      <c r="A71" s="17"/>
      <c r="B71" s="3"/>
      <c r="C71" s="4" t="s">
        <v>35</v>
      </c>
      <c r="D71" s="3"/>
      <c r="E71" s="3"/>
      <c r="F71" s="3"/>
      <c r="G71" s="3"/>
      <c r="H71" s="3"/>
      <c r="I71" s="3"/>
      <c r="J71" s="3"/>
      <c r="K71" s="3"/>
      <c r="L71" s="3"/>
      <c r="M71" s="3"/>
      <c r="N71" s="17"/>
    </row>
    <row r="72" spans="1:15" ht="42" customHeight="1" x14ac:dyDescent="0.2">
      <c r="A72" s="17"/>
      <c r="B72" s="3"/>
      <c r="C72" s="468" t="s">
        <v>361</v>
      </c>
      <c r="D72" s="468"/>
      <c r="E72" s="468"/>
      <c r="F72" s="468"/>
      <c r="G72" s="468"/>
      <c r="H72" s="468"/>
      <c r="I72" s="468"/>
      <c r="J72" s="468"/>
      <c r="K72" s="468"/>
      <c r="L72" s="3"/>
      <c r="M72" s="3"/>
      <c r="N72" s="17"/>
      <c r="O72" s="2"/>
    </row>
    <row r="73" spans="1:15" x14ac:dyDescent="0.2">
      <c r="A73" s="17"/>
      <c r="B73" s="3"/>
      <c r="C73" s="4"/>
      <c r="D73" s="3"/>
      <c r="E73" s="3"/>
      <c r="F73" s="3"/>
      <c r="G73" s="3"/>
      <c r="H73" s="3"/>
      <c r="I73" s="3"/>
      <c r="J73" s="3"/>
      <c r="K73" s="3"/>
      <c r="L73" s="3"/>
      <c r="M73" s="3"/>
      <c r="N73" s="17"/>
      <c r="O73" s="2"/>
    </row>
    <row r="74" spans="1:15" x14ac:dyDescent="0.2">
      <c r="A74" s="17"/>
      <c r="B74" s="3"/>
      <c r="C74" s="5" t="s">
        <v>25</v>
      </c>
      <c r="D74" s="10" t="s">
        <v>23</v>
      </c>
      <c r="E74" s="10" t="s">
        <v>28</v>
      </c>
      <c r="F74" s="581" t="s">
        <v>375</v>
      </c>
      <c r="G74" s="581"/>
      <c r="H74" s="581"/>
      <c r="I74" s="3"/>
      <c r="J74" s="3"/>
      <c r="K74" s="3"/>
      <c r="L74" s="3"/>
      <c r="M74" s="3"/>
      <c r="N74" s="17"/>
    </row>
    <row r="75" spans="1:15" x14ac:dyDescent="0.2">
      <c r="A75" s="17"/>
      <c r="B75" s="3"/>
      <c r="C75" s="6"/>
      <c r="D75" s="112" t="s">
        <v>124</v>
      </c>
      <c r="E75" s="112" t="s">
        <v>29</v>
      </c>
      <c r="F75" s="94" t="s">
        <v>12</v>
      </c>
      <c r="G75" s="94" t="s">
        <v>20</v>
      </c>
      <c r="H75" s="94" t="s">
        <v>34</v>
      </c>
      <c r="I75" s="3"/>
      <c r="J75" s="3"/>
      <c r="K75" s="3"/>
      <c r="L75" s="3"/>
      <c r="M75" s="3"/>
      <c r="N75" s="17"/>
    </row>
    <row r="76" spans="1:15" x14ac:dyDescent="0.2">
      <c r="A76" s="17"/>
      <c r="B76" s="3"/>
      <c r="C76" s="8" t="s">
        <v>62</v>
      </c>
      <c r="D76" s="97">
        <v>270</v>
      </c>
      <c r="E76" s="375">
        <v>0</v>
      </c>
      <c r="F76" s="98">
        <f>D67</f>
        <v>0</v>
      </c>
      <c r="G76" s="532">
        <f>E67</f>
        <v>0</v>
      </c>
      <c r="H76" s="98">
        <f>F76+G76</f>
        <v>0</v>
      </c>
      <c r="I76" s="3"/>
      <c r="J76" s="3"/>
      <c r="K76" s="3"/>
      <c r="L76" s="3"/>
      <c r="M76" s="3"/>
      <c r="N76" s="17"/>
    </row>
    <row r="77" spans="1:15" x14ac:dyDescent="0.2">
      <c r="A77" s="17"/>
      <c r="B77" s="3"/>
      <c r="C77" s="8" t="s">
        <v>26</v>
      </c>
      <c r="D77" s="97">
        <v>210</v>
      </c>
      <c r="E77" s="375">
        <f>-(D77-D76)/D76</f>
        <v>0.22222222222222221</v>
      </c>
      <c r="F77" s="98">
        <f>F76*(1-E77)</f>
        <v>0</v>
      </c>
      <c r="G77" s="533"/>
      <c r="H77" s="98">
        <f>F77+G76</f>
        <v>0</v>
      </c>
      <c r="I77" s="3"/>
      <c r="J77" s="3"/>
      <c r="K77" s="3"/>
      <c r="L77" s="3"/>
      <c r="M77" s="3"/>
      <c r="N77" s="17"/>
    </row>
    <row r="78" spans="1:15" x14ac:dyDescent="0.2">
      <c r="A78" s="17"/>
      <c r="B78" s="3"/>
      <c r="C78" s="8" t="s">
        <v>27</v>
      </c>
      <c r="D78" s="97">
        <v>160</v>
      </c>
      <c r="E78" s="375">
        <f>-(D78-D76)/D76</f>
        <v>0.40740740740740738</v>
      </c>
      <c r="F78" s="98">
        <f>F76*(1-E78)</f>
        <v>0</v>
      </c>
      <c r="G78" s="534"/>
      <c r="H78" s="98">
        <f>F78+G76</f>
        <v>0</v>
      </c>
      <c r="I78" s="3"/>
      <c r="J78" s="3"/>
      <c r="K78" s="3"/>
      <c r="L78" s="3"/>
      <c r="M78" s="3"/>
      <c r="N78" s="17"/>
    </row>
    <row r="79" spans="1:15" x14ac:dyDescent="0.2">
      <c r="A79" s="17"/>
      <c r="B79" s="3"/>
      <c r="C79" s="3"/>
      <c r="D79" s="3"/>
      <c r="E79" s="3"/>
      <c r="F79" s="3"/>
      <c r="G79" s="3"/>
      <c r="H79" s="3"/>
      <c r="I79" s="3"/>
      <c r="J79" s="3"/>
      <c r="K79" s="3"/>
      <c r="L79" s="3"/>
      <c r="M79" s="3"/>
      <c r="N79" s="17"/>
    </row>
    <row r="80" spans="1:15" x14ac:dyDescent="0.2">
      <c r="A80" s="17"/>
      <c r="B80" s="3"/>
      <c r="C80" s="3"/>
      <c r="D80" s="3"/>
      <c r="E80" s="3"/>
      <c r="F80" s="3"/>
      <c r="G80" s="3"/>
      <c r="H80" s="335"/>
      <c r="I80" s="3"/>
      <c r="J80" s="3"/>
      <c r="K80" s="3"/>
      <c r="L80" s="3"/>
      <c r="M80" s="3"/>
      <c r="N80" s="17"/>
    </row>
    <row r="81" spans="1:15" x14ac:dyDescent="0.2">
      <c r="A81" s="17"/>
      <c r="B81" s="3"/>
      <c r="C81" s="3"/>
      <c r="D81" s="3"/>
      <c r="E81" s="3"/>
      <c r="F81" s="196" t="s">
        <v>411</v>
      </c>
      <c r="G81" s="374" t="str">
        <f>Utbyggingsinformasjon!M43</f>
        <v>Lavkarbon B (default)</v>
      </c>
      <c r="H81" s="95">
        <f>VLOOKUP(G81,C76:H78,6,FALSE)</f>
        <v>0</v>
      </c>
      <c r="I81" s="3"/>
      <c r="J81" s="3"/>
      <c r="K81" s="3"/>
      <c r="L81" s="3"/>
      <c r="M81" s="3"/>
      <c r="N81" s="17"/>
    </row>
    <row r="82" spans="1:15" x14ac:dyDescent="0.2">
      <c r="A82" s="17"/>
      <c r="B82" s="3"/>
      <c r="C82" s="3"/>
      <c r="D82" s="3"/>
      <c r="E82" s="3"/>
      <c r="F82" s="3"/>
      <c r="G82" s="3"/>
      <c r="H82" s="3"/>
      <c r="I82" s="3"/>
      <c r="J82" s="3"/>
      <c r="K82" s="3"/>
      <c r="L82" s="3"/>
      <c r="M82" s="3"/>
      <c r="N82" s="17"/>
    </row>
    <row r="83" spans="1:15" x14ac:dyDescent="0.2">
      <c r="A83" s="17"/>
      <c r="B83" s="17"/>
      <c r="C83" s="17"/>
      <c r="D83" s="17"/>
      <c r="E83" s="17"/>
      <c r="F83" s="17"/>
      <c r="G83" s="17"/>
      <c r="H83" s="17"/>
      <c r="I83" s="17"/>
      <c r="J83" s="17"/>
      <c r="K83" s="17"/>
      <c r="L83" s="17"/>
      <c r="M83" s="17"/>
      <c r="N83" s="17"/>
    </row>
    <row r="84" spans="1:15" x14ac:dyDescent="0.2">
      <c r="A84" s="17"/>
      <c r="B84" s="3"/>
      <c r="C84" s="3"/>
      <c r="D84" s="3"/>
      <c r="E84" s="3"/>
      <c r="F84" s="3"/>
      <c r="G84" s="3"/>
      <c r="H84" s="3"/>
      <c r="I84" s="3"/>
      <c r="J84" s="3"/>
      <c r="K84" s="3"/>
      <c r="L84" s="3"/>
      <c r="M84" s="3"/>
      <c r="N84" s="17"/>
    </row>
    <row r="85" spans="1:15" x14ac:dyDescent="0.2">
      <c r="A85" s="17"/>
      <c r="B85" s="3"/>
      <c r="C85" s="4" t="s">
        <v>437</v>
      </c>
      <c r="D85" s="3"/>
      <c r="E85" s="3"/>
      <c r="F85" s="3"/>
      <c r="G85" s="3"/>
      <c r="H85" s="3"/>
      <c r="I85" s="3"/>
      <c r="J85" s="3"/>
      <c r="K85" s="3"/>
      <c r="L85" s="3"/>
      <c r="M85" s="3"/>
      <c r="N85" s="17"/>
    </row>
    <row r="86" spans="1:15" ht="42" customHeight="1" x14ac:dyDescent="0.2">
      <c r="A86" s="17"/>
      <c r="B86" s="3"/>
      <c r="C86" s="589" t="s">
        <v>104</v>
      </c>
      <c r="D86" s="589"/>
      <c r="E86" s="589"/>
      <c r="F86" s="589"/>
      <c r="G86" s="589"/>
      <c r="H86" s="589"/>
      <c r="I86" s="589"/>
      <c r="J86" s="589"/>
      <c r="K86" s="589"/>
      <c r="L86" s="3"/>
      <c r="M86" s="3"/>
      <c r="N86" s="17"/>
    </row>
    <row r="87" spans="1:15" x14ac:dyDescent="0.2">
      <c r="A87" s="17"/>
      <c r="B87" s="3"/>
      <c r="C87" s="4"/>
      <c r="D87" s="3"/>
      <c r="E87" s="13"/>
      <c r="F87" s="3"/>
      <c r="G87" s="3"/>
      <c r="H87" s="3"/>
      <c r="I87" s="3"/>
      <c r="J87" s="3"/>
      <c r="K87" s="3"/>
      <c r="L87" s="3"/>
      <c r="M87" s="3"/>
      <c r="N87" s="17"/>
    </row>
    <row r="88" spans="1:15" ht="15" customHeight="1" x14ac:dyDescent="0.2">
      <c r="A88" s="17"/>
      <c r="B88" s="3"/>
      <c r="C88" s="518" t="s">
        <v>30</v>
      </c>
      <c r="D88" s="581" t="s">
        <v>76</v>
      </c>
      <c r="E88" s="581"/>
      <c r="F88" s="581"/>
      <c r="G88" s="581"/>
      <c r="H88" s="581" t="s">
        <v>75</v>
      </c>
      <c r="I88" s="581"/>
      <c r="J88" s="581"/>
      <c r="K88" s="581"/>
      <c r="L88" s="3"/>
      <c r="M88" s="3"/>
      <c r="N88" s="17"/>
    </row>
    <row r="89" spans="1:15" ht="25.5" customHeight="1" x14ac:dyDescent="0.2">
      <c r="A89" s="17"/>
      <c r="B89" s="3"/>
      <c r="C89" s="590"/>
      <c r="D89" s="541" t="s">
        <v>102</v>
      </c>
      <c r="E89" s="541" t="s">
        <v>101</v>
      </c>
      <c r="F89" s="541" t="s">
        <v>100</v>
      </c>
      <c r="G89" s="541" t="s">
        <v>376</v>
      </c>
      <c r="H89" s="541" t="s">
        <v>102</v>
      </c>
      <c r="I89" s="541" t="s">
        <v>101</v>
      </c>
      <c r="J89" s="541" t="s">
        <v>100</v>
      </c>
      <c r="K89" s="541" t="s">
        <v>376</v>
      </c>
      <c r="L89" s="3"/>
      <c r="M89" s="3"/>
      <c r="N89" s="17"/>
    </row>
    <row r="90" spans="1:15" x14ac:dyDescent="0.2">
      <c r="A90" s="17"/>
      <c r="B90" s="3"/>
      <c r="C90" s="590"/>
      <c r="D90" s="542"/>
      <c r="E90" s="543"/>
      <c r="F90" s="543"/>
      <c r="G90" s="542"/>
      <c r="H90" s="542"/>
      <c r="I90" s="543"/>
      <c r="J90" s="543"/>
      <c r="K90" s="542"/>
      <c r="L90" s="3"/>
      <c r="M90" s="3"/>
      <c r="N90" s="17"/>
    </row>
    <row r="91" spans="1:15" x14ac:dyDescent="0.2">
      <c r="A91" s="17"/>
      <c r="B91" s="3"/>
      <c r="C91" s="8" t="s">
        <v>103</v>
      </c>
      <c r="D91" s="369">
        <f>Utbyggingsinformasjon!E54</f>
        <v>0</v>
      </c>
      <c r="E91" s="97">
        <v>9.3000000000000007</v>
      </c>
      <c r="F91" s="113">
        <f>(D91*E91)/1000</f>
        <v>0</v>
      </c>
      <c r="G91" s="98">
        <f>F91*2</f>
        <v>0</v>
      </c>
      <c r="H91" s="532">
        <f>D91-(D91*Utbyggingsinformasjon!M54)</f>
        <v>0</v>
      </c>
      <c r="I91" s="97">
        <v>9.3000000000000007</v>
      </c>
      <c r="J91" s="98">
        <f>(H91*I91)/1000</f>
        <v>0</v>
      </c>
      <c r="K91" s="98">
        <f t="shared" ref="K91:K92" si="6">J91*2</f>
        <v>0</v>
      </c>
      <c r="L91" s="3"/>
      <c r="M91" s="3"/>
      <c r="N91" s="17"/>
      <c r="O91" s="2"/>
    </row>
    <row r="92" spans="1:15" x14ac:dyDescent="0.2">
      <c r="A92" s="17"/>
      <c r="B92" s="3"/>
      <c r="C92" s="8" t="s">
        <v>31</v>
      </c>
      <c r="D92" s="100"/>
      <c r="E92" s="101"/>
      <c r="F92" s="101"/>
      <c r="G92" s="102"/>
      <c r="H92" s="533"/>
      <c r="I92" s="97">
        <v>6.8</v>
      </c>
      <c r="J92" s="98">
        <f>(H91*I92)/1000</f>
        <v>0</v>
      </c>
      <c r="K92" s="98">
        <f t="shared" si="6"/>
        <v>0</v>
      </c>
      <c r="L92" s="3"/>
      <c r="M92" s="3"/>
      <c r="N92" s="17"/>
    </row>
    <row r="93" spans="1:15" x14ac:dyDescent="0.2">
      <c r="A93" s="17"/>
      <c r="B93" s="3"/>
      <c r="C93" s="8" t="s">
        <v>32</v>
      </c>
      <c r="D93" s="103"/>
      <c r="E93" s="104"/>
      <c r="F93" s="104"/>
      <c r="G93" s="105"/>
      <c r="H93" s="534"/>
      <c r="I93" s="114">
        <v>6</v>
      </c>
      <c r="J93" s="98">
        <f>(H91*I93)/1000</f>
        <v>0</v>
      </c>
      <c r="K93" s="98">
        <f>J93*2</f>
        <v>0</v>
      </c>
      <c r="L93" s="3"/>
      <c r="M93" s="3"/>
      <c r="N93" s="17"/>
    </row>
    <row r="94" spans="1:15" x14ac:dyDescent="0.2">
      <c r="A94" s="17"/>
      <c r="B94" s="3"/>
      <c r="C94" s="3"/>
      <c r="D94" s="3"/>
      <c r="E94" s="3"/>
      <c r="F94" s="3"/>
      <c r="G94" s="3"/>
      <c r="H94" s="3"/>
      <c r="I94" s="13"/>
      <c r="J94" s="3"/>
      <c r="K94" s="3"/>
      <c r="L94" s="3"/>
      <c r="M94" s="3"/>
      <c r="N94" s="17"/>
    </row>
    <row r="95" spans="1:15" x14ac:dyDescent="0.2">
      <c r="A95" s="17"/>
      <c r="B95" s="3"/>
      <c r="C95" s="3"/>
      <c r="D95" s="3"/>
      <c r="E95" s="3"/>
      <c r="F95" s="3"/>
      <c r="G95" s="3"/>
      <c r="H95" s="3"/>
      <c r="I95" s="13"/>
      <c r="J95" s="3"/>
      <c r="K95" s="3"/>
      <c r="L95" s="3"/>
      <c r="M95" s="3"/>
      <c r="N95" s="17"/>
    </row>
    <row r="96" spans="1:15" ht="9.75" customHeight="1" x14ac:dyDescent="0.2">
      <c r="A96" s="17"/>
      <c r="B96" s="3"/>
      <c r="C96" s="3"/>
      <c r="D96" s="3"/>
      <c r="E96" s="3"/>
      <c r="F96" s="3"/>
      <c r="G96" s="3"/>
      <c r="H96" s="3"/>
      <c r="I96" s="18"/>
      <c r="J96" s="18"/>
      <c r="K96" s="335"/>
      <c r="L96" s="3"/>
      <c r="M96" s="3"/>
      <c r="N96" s="17"/>
    </row>
    <row r="97" spans="1:14" ht="12.75" customHeight="1" x14ac:dyDescent="0.2">
      <c r="A97" s="17"/>
      <c r="B97" s="3"/>
      <c r="C97" s="4" t="s">
        <v>90</v>
      </c>
      <c r="D97" s="3"/>
      <c r="E97" s="3"/>
      <c r="F97" s="3"/>
      <c r="G97" s="610" t="s">
        <v>410</v>
      </c>
      <c r="H97" s="611"/>
      <c r="I97" s="602" t="str">
        <f>Utbyggingsinformasjon!M59</f>
        <v>Asfaltgrusbetong (default)</v>
      </c>
      <c r="J97" s="603"/>
      <c r="K97" s="606">
        <f>(VLOOKUP(I97,C91:K93,9,FALSE))</f>
        <v>0</v>
      </c>
      <c r="L97" s="3"/>
      <c r="M97" s="3"/>
      <c r="N97" s="17"/>
    </row>
    <row r="98" spans="1:14" x14ac:dyDescent="0.2">
      <c r="A98" s="17"/>
      <c r="B98" s="3"/>
      <c r="C98" s="526" t="s">
        <v>91</v>
      </c>
      <c r="D98" s="375">
        <v>0</v>
      </c>
      <c r="E98" s="3"/>
      <c r="F98" s="3"/>
      <c r="G98" s="610"/>
      <c r="H98" s="611"/>
      <c r="I98" s="604"/>
      <c r="J98" s="605"/>
      <c r="K98" s="607"/>
      <c r="L98" s="3"/>
      <c r="M98" s="3"/>
      <c r="N98" s="17"/>
    </row>
    <row r="99" spans="1:14" ht="12.75" customHeight="1" x14ac:dyDescent="0.2">
      <c r="A99" s="17"/>
      <c r="B99" s="3"/>
      <c r="C99" s="527"/>
      <c r="D99" s="392">
        <v>0.1</v>
      </c>
      <c r="E99" s="3"/>
      <c r="F99" s="3"/>
      <c r="G99" s="3"/>
      <c r="H99" s="3"/>
      <c r="I99" s="3"/>
      <c r="J99" s="3"/>
      <c r="K99" s="3"/>
      <c r="L99" s="3"/>
      <c r="M99" s="3"/>
      <c r="N99" s="17"/>
    </row>
    <row r="100" spans="1:14" x14ac:dyDescent="0.2">
      <c r="A100" s="17"/>
      <c r="B100" s="3"/>
      <c r="C100" s="527"/>
      <c r="D100" s="392">
        <v>0.2</v>
      </c>
      <c r="E100" s="3"/>
      <c r="F100" s="3"/>
      <c r="G100" s="3"/>
      <c r="H100" s="3"/>
      <c r="I100" s="3"/>
      <c r="J100" s="3"/>
      <c r="K100" s="3"/>
      <c r="L100" s="3"/>
      <c r="M100" s="3"/>
      <c r="N100" s="17"/>
    </row>
    <row r="101" spans="1:14" x14ac:dyDescent="0.2">
      <c r="A101" s="17"/>
      <c r="B101" s="3"/>
      <c r="C101" s="527"/>
      <c r="D101" s="393">
        <v>0.3</v>
      </c>
      <c r="E101" s="3"/>
      <c r="F101" s="3"/>
      <c r="G101" s="3"/>
      <c r="H101" s="3"/>
      <c r="I101" s="3"/>
      <c r="J101" s="3"/>
      <c r="K101" s="3"/>
      <c r="L101" s="3"/>
      <c r="M101" s="3"/>
      <c r="N101" s="17"/>
    </row>
    <row r="102" spans="1:14" x14ac:dyDescent="0.2">
      <c r="A102" s="17"/>
      <c r="B102" s="3"/>
      <c r="C102" s="527"/>
      <c r="D102" s="393">
        <v>0.4</v>
      </c>
      <c r="E102" s="3"/>
      <c r="F102" s="3"/>
      <c r="G102" s="3"/>
      <c r="H102" s="3"/>
      <c r="I102" s="3"/>
      <c r="J102" s="3"/>
      <c r="K102" s="3"/>
      <c r="L102" s="3"/>
      <c r="M102" s="3"/>
      <c r="N102" s="17"/>
    </row>
    <row r="103" spans="1:14" x14ac:dyDescent="0.2">
      <c r="A103" s="17"/>
      <c r="B103" s="3"/>
      <c r="C103" s="527"/>
      <c r="D103" s="393">
        <v>0.5</v>
      </c>
      <c r="E103" s="3"/>
      <c r="F103" s="3"/>
      <c r="G103" s="3"/>
      <c r="H103" s="3"/>
      <c r="I103" s="3"/>
      <c r="J103" s="3"/>
      <c r="K103" s="3"/>
      <c r="L103" s="3"/>
      <c r="M103" s="3"/>
      <c r="N103" s="17"/>
    </row>
    <row r="104" spans="1:14" x14ac:dyDescent="0.2">
      <c r="A104" s="17"/>
      <c r="B104" s="3"/>
      <c r="C104" s="527"/>
      <c r="D104" s="393">
        <v>0.6</v>
      </c>
      <c r="E104" s="3"/>
      <c r="F104" s="3"/>
      <c r="G104" s="3"/>
      <c r="H104" s="3"/>
      <c r="I104" s="3"/>
      <c r="J104" s="3"/>
      <c r="K104" s="3"/>
      <c r="L104" s="3"/>
      <c r="M104" s="3"/>
      <c r="N104" s="17"/>
    </row>
    <row r="105" spans="1:14" x14ac:dyDescent="0.2">
      <c r="A105" s="17"/>
      <c r="B105" s="3"/>
      <c r="C105" s="527"/>
      <c r="D105" s="393">
        <v>0.7</v>
      </c>
      <c r="E105" s="3"/>
      <c r="F105" s="3"/>
      <c r="G105" s="3"/>
      <c r="H105" s="3"/>
      <c r="I105" s="3"/>
      <c r="J105" s="3"/>
      <c r="K105" s="3"/>
      <c r="L105" s="3"/>
      <c r="M105" s="3"/>
      <c r="N105" s="17"/>
    </row>
    <row r="106" spans="1:14" x14ac:dyDescent="0.2">
      <c r="A106" s="17"/>
      <c r="B106" s="3"/>
      <c r="C106" s="527"/>
      <c r="D106" s="393">
        <v>0.8</v>
      </c>
      <c r="E106" s="3"/>
      <c r="F106" s="3"/>
      <c r="G106" s="3"/>
      <c r="H106" s="3"/>
      <c r="I106" s="3"/>
      <c r="J106" s="3"/>
      <c r="K106" s="3"/>
      <c r="L106" s="3"/>
      <c r="M106" s="3"/>
      <c r="N106" s="17"/>
    </row>
    <row r="107" spans="1:14" x14ac:dyDescent="0.2">
      <c r="A107" s="17"/>
      <c r="B107" s="3"/>
      <c r="C107" s="527"/>
      <c r="D107" s="393">
        <v>0.9</v>
      </c>
      <c r="E107" s="3"/>
      <c r="F107" s="3"/>
      <c r="G107" s="3"/>
      <c r="H107" s="3"/>
      <c r="I107" s="3"/>
      <c r="J107" s="3"/>
      <c r="K107" s="3"/>
      <c r="L107" s="3"/>
      <c r="M107" s="3"/>
      <c r="N107" s="17"/>
    </row>
    <row r="108" spans="1:14" x14ac:dyDescent="0.2">
      <c r="A108" s="17"/>
      <c r="B108" s="3"/>
      <c r="C108" s="528"/>
      <c r="D108" s="393">
        <v>1</v>
      </c>
      <c r="E108" s="3"/>
      <c r="F108" s="3"/>
      <c r="G108" s="3"/>
      <c r="H108" s="3"/>
      <c r="I108" s="3"/>
      <c r="J108" s="3"/>
      <c r="K108" s="3"/>
      <c r="L108" s="3"/>
      <c r="M108" s="3"/>
      <c r="N108" s="17"/>
    </row>
    <row r="109" spans="1:14" x14ac:dyDescent="0.2">
      <c r="A109" s="17"/>
      <c r="B109" s="3"/>
      <c r="C109" s="222"/>
      <c r="D109" s="3"/>
      <c r="E109" s="3"/>
      <c r="F109" s="3"/>
      <c r="G109" s="3"/>
      <c r="H109" s="3"/>
      <c r="I109" s="3"/>
      <c r="J109" s="3"/>
      <c r="K109" s="3"/>
      <c r="L109" s="3"/>
      <c r="M109" s="3"/>
      <c r="N109" s="17"/>
    </row>
    <row r="110" spans="1:14" x14ac:dyDescent="0.2">
      <c r="A110" s="17"/>
      <c r="B110" s="3"/>
      <c r="C110" s="222"/>
      <c r="D110" s="3"/>
      <c r="E110" s="3"/>
      <c r="F110" s="3"/>
      <c r="G110" s="3"/>
      <c r="H110" s="3"/>
      <c r="I110" s="3"/>
      <c r="J110" s="3"/>
      <c r="K110" s="3"/>
      <c r="L110" s="3"/>
      <c r="M110" s="3"/>
      <c r="N110" s="17"/>
    </row>
    <row r="111" spans="1:14" x14ac:dyDescent="0.2">
      <c r="A111" s="17"/>
      <c r="B111" s="17"/>
      <c r="C111" s="17"/>
      <c r="D111" s="17"/>
      <c r="E111" s="17"/>
      <c r="F111" s="17"/>
      <c r="G111" s="17"/>
      <c r="H111" s="17"/>
      <c r="I111" s="17"/>
      <c r="J111" s="17"/>
      <c r="K111" s="17"/>
      <c r="L111" s="17"/>
      <c r="M111" s="17"/>
      <c r="N111" s="17"/>
    </row>
    <row r="112" spans="1:14" x14ac:dyDescent="0.2">
      <c r="A112" s="17"/>
      <c r="B112" s="3"/>
      <c r="C112" s="3"/>
      <c r="D112" s="3"/>
      <c r="E112" s="3"/>
      <c r="F112" s="3"/>
      <c r="G112" s="3"/>
      <c r="H112" s="3"/>
      <c r="I112" s="3"/>
      <c r="J112" s="3"/>
      <c r="K112" s="3"/>
      <c r="L112" s="3"/>
      <c r="M112" s="3"/>
      <c r="N112" s="17"/>
    </row>
    <row r="113" spans="1:19" x14ac:dyDescent="0.2">
      <c r="A113" s="17"/>
      <c r="B113" s="3"/>
      <c r="C113" s="4" t="s">
        <v>321</v>
      </c>
      <c r="D113" s="3"/>
      <c r="E113" s="3"/>
      <c r="F113" s="3"/>
      <c r="G113" s="3"/>
      <c r="H113" s="3"/>
      <c r="I113" s="3"/>
      <c r="J113" s="3"/>
      <c r="K113" s="3"/>
      <c r="L113" s="3"/>
      <c r="M113" s="3"/>
      <c r="N113" s="17"/>
    </row>
    <row r="114" spans="1:19" ht="38.25" customHeight="1" x14ac:dyDescent="0.2">
      <c r="A114" s="17"/>
      <c r="B114" s="3"/>
      <c r="C114" s="468" t="s">
        <v>358</v>
      </c>
      <c r="D114" s="468"/>
      <c r="E114" s="468"/>
      <c r="F114" s="468"/>
      <c r="G114" s="468"/>
      <c r="H114" s="468"/>
      <c r="I114" s="468"/>
      <c r="J114" s="468"/>
      <c r="K114" s="468"/>
      <c r="L114" s="3"/>
      <c r="M114" s="3"/>
      <c r="N114" s="17"/>
    </row>
    <row r="115" spans="1:19" x14ac:dyDescent="0.2">
      <c r="A115" s="17"/>
      <c r="B115" s="3"/>
      <c r="C115" s="222"/>
      <c r="D115" s="3"/>
      <c r="E115" s="3"/>
      <c r="F115" s="3"/>
      <c r="G115" s="3"/>
      <c r="H115" s="3"/>
      <c r="I115" s="3"/>
      <c r="J115" s="3"/>
      <c r="K115" s="3"/>
      <c r="L115" s="3"/>
      <c r="M115" s="3"/>
      <c r="N115" s="17"/>
    </row>
    <row r="116" spans="1:19" ht="25.5" x14ac:dyDescent="0.2">
      <c r="A116" s="17"/>
      <c r="B116" s="3"/>
      <c r="C116" s="579" t="s">
        <v>257</v>
      </c>
      <c r="D116" s="612"/>
      <c r="E116" s="50" t="s">
        <v>258</v>
      </c>
      <c r="F116" s="50" t="s">
        <v>262</v>
      </c>
      <c r="G116" s="50" t="s">
        <v>259</v>
      </c>
      <c r="H116" s="3"/>
      <c r="I116" s="3"/>
      <c r="J116" s="3"/>
      <c r="K116" s="3"/>
      <c r="L116" s="3"/>
      <c r="M116" s="3"/>
      <c r="N116" s="17"/>
    </row>
    <row r="117" spans="1:19" x14ac:dyDescent="0.2">
      <c r="A117" s="17"/>
      <c r="B117" s="3"/>
      <c r="C117" s="456" t="s">
        <v>260</v>
      </c>
      <c r="D117" s="456"/>
      <c r="E117" s="97">
        <v>21.5</v>
      </c>
      <c r="F117" s="592">
        <f>SUM(Utbyggingsinformasjon!G36:G43)</f>
        <v>0</v>
      </c>
      <c r="G117" s="124">
        <f>E117*F117/1000</f>
        <v>0</v>
      </c>
      <c r="H117" s="3"/>
      <c r="I117" s="3"/>
      <c r="J117" s="3"/>
      <c r="K117" s="3"/>
      <c r="L117" s="3"/>
      <c r="M117" s="3"/>
      <c r="N117" s="17"/>
    </row>
    <row r="118" spans="1:19" x14ac:dyDescent="0.2">
      <c r="A118" s="17"/>
      <c r="B118" s="3"/>
      <c r="C118" s="608" t="s">
        <v>263</v>
      </c>
      <c r="D118" s="609"/>
      <c r="E118" s="97">
        <v>8.5</v>
      </c>
      <c r="F118" s="594"/>
      <c r="G118" s="124">
        <f>E118*F117/1000</f>
        <v>0</v>
      </c>
      <c r="H118" s="3"/>
      <c r="I118" s="3"/>
      <c r="J118" s="3"/>
      <c r="K118" s="3"/>
      <c r="L118" s="3"/>
      <c r="M118" s="3"/>
      <c r="N118" s="17"/>
    </row>
    <row r="119" spans="1:19" x14ac:dyDescent="0.2">
      <c r="A119" s="17"/>
      <c r="B119" s="3"/>
      <c r="C119" s="222"/>
      <c r="D119" s="3"/>
      <c r="E119" s="3"/>
      <c r="F119" s="3"/>
      <c r="G119" s="3"/>
      <c r="H119" s="3"/>
      <c r="I119" s="3"/>
      <c r="J119" s="3"/>
      <c r="K119" s="3"/>
      <c r="L119" s="3"/>
      <c r="M119" s="3"/>
      <c r="N119" s="17"/>
    </row>
    <row r="120" spans="1:19" x14ac:dyDescent="0.2">
      <c r="A120" s="17"/>
      <c r="B120" s="3"/>
      <c r="C120" s="222"/>
      <c r="D120" s="3"/>
      <c r="E120" s="4"/>
      <c r="F120" s="4"/>
      <c r="G120" s="15"/>
      <c r="H120" s="3"/>
      <c r="I120" s="3"/>
      <c r="J120" s="3"/>
      <c r="K120" s="3"/>
      <c r="L120" s="3"/>
      <c r="M120" s="3"/>
      <c r="N120" s="17"/>
    </row>
    <row r="121" spans="1:19" ht="20.25" customHeight="1" x14ac:dyDescent="0.2">
      <c r="A121" s="17"/>
      <c r="B121" s="3"/>
      <c r="C121" s="222"/>
      <c r="D121" s="376" t="s">
        <v>413</v>
      </c>
      <c r="E121" s="373" t="str">
        <f>Utbyggingsinformasjon!M69</f>
        <v>Byggeplass med fossil diesel (default)</v>
      </c>
      <c r="F121" s="372"/>
      <c r="G121" s="336">
        <f>VLOOKUP(E121,C117:G118,5,FALSE)</f>
        <v>0</v>
      </c>
      <c r="H121" s="3"/>
      <c r="I121" s="3"/>
      <c r="J121" s="3"/>
      <c r="K121" s="3"/>
      <c r="L121" s="3"/>
      <c r="M121" s="3"/>
      <c r="N121" s="17"/>
    </row>
    <row r="122" spans="1:19" x14ac:dyDescent="0.2">
      <c r="A122" s="17"/>
      <c r="B122" s="3"/>
      <c r="C122" s="3"/>
      <c r="D122" s="3"/>
      <c r="E122" s="3"/>
      <c r="F122" s="3"/>
      <c r="G122" s="3"/>
      <c r="H122" s="3"/>
      <c r="I122" s="3"/>
      <c r="J122" s="3"/>
      <c r="K122" s="3"/>
      <c r="L122" s="3"/>
      <c r="M122" s="3"/>
      <c r="N122" s="17"/>
    </row>
    <row r="123" spans="1:19" x14ac:dyDescent="0.2">
      <c r="A123" s="17"/>
      <c r="B123" s="17"/>
      <c r="C123" s="17"/>
      <c r="D123" s="17"/>
      <c r="E123" s="17"/>
      <c r="F123" s="17"/>
      <c r="G123" s="17"/>
      <c r="H123" s="17"/>
      <c r="I123" s="17"/>
      <c r="J123" s="17"/>
      <c r="K123" s="17"/>
      <c r="L123" s="17"/>
      <c r="M123" s="17"/>
      <c r="N123" s="17"/>
    </row>
    <row r="124" spans="1:19" x14ac:dyDescent="0.2">
      <c r="A124" s="17"/>
      <c r="B124" s="3"/>
      <c r="C124" s="3"/>
      <c r="D124" s="3"/>
      <c r="E124" s="3"/>
      <c r="F124" s="3"/>
      <c r="G124" s="3"/>
      <c r="H124" s="3"/>
      <c r="I124" s="3"/>
      <c r="J124" s="3"/>
      <c r="K124" s="3"/>
      <c r="L124" s="3"/>
      <c r="M124" s="3"/>
      <c r="N124" s="17"/>
    </row>
    <row r="125" spans="1:19" x14ac:dyDescent="0.2">
      <c r="A125" s="17"/>
      <c r="B125" s="3"/>
      <c r="C125" s="4" t="s">
        <v>320</v>
      </c>
      <c r="D125" s="3"/>
      <c r="E125" s="3"/>
      <c r="F125" s="3"/>
      <c r="G125" s="3"/>
      <c r="H125" s="3"/>
      <c r="I125" s="3"/>
      <c r="J125" s="3"/>
      <c r="K125" s="3"/>
      <c r="L125" s="3"/>
      <c r="M125" s="3"/>
      <c r="N125" s="17"/>
    </row>
    <row r="126" spans="1:19" ht="44.25" customHeight="1" x14ac:dyDescent="0.25">
      <c r="A126" s="17"/>
      <c r="B126" s="3"/>
      <c r="C126" s="468" t="s">
        <v>383</v>
      </c>
      <c r="D126" s="468"/>
      <c r="E126" s="468"/>
      <c r="F126" s="468"/>
      <c r="G126" s="468"/>
      <c r="H126" s="468"/>
      <c r="I126" s="468"/>
      <c r="J126" s="468"/>
      <c r="K126" s="468"/>
      <c r="L126" s="3"/>
      <c r="M126" s="3"/>
      <c r="N126" s="17"/>
      <c r="P126"/>
      <c r="Q126"/>
      <c r="R126"/>
      <c r="S126"/>
    </row>
    <row r="127" spans="1:19" ht="15" x14ac:dyDescent="0.25">
      <c r="A127" s="17"/>
      <c r="B127" s="3"/>
      <c r="C127" s="3"/>
      <c r="D127" s="581" t="s">
        <v>329</v>
      </c>
      <c r="E127" s="581"/>
      <c r="F127" s="581"/>
      <c r="G127" s="581"/>
      <c r="H127" s="581" t="s">
        <v>330</v>
      </c>
      <c r="I127" s="581"/>
      <c r="J127" s="581"/>
      <c r="K127" s="581"/>
      <c r="L127" s="3"/>
      <c r="M127" s="3"/>
      <c r="N127" s="17"/>
      <c r="P127"/>
      <c r="Q127"/>
      <c r="R127"/>
      <c r="S127"/>
    </row>
    <row r="128" spans="1:19" ht="26.25" x14ac:dyDescent="0.25">
      <c r="A128" s="17"/>
      <c r="B128" s="3"/>
      <c r="C128" s="123" t="s">
        <v>324</v>
      </c>
      <c r="D128" s="50" t="s">
        <v>323</v>
      </c>
      <c r="E128" s="50" t="s">
        <v>380</v>
      </c>
      <c r="F128" s="50" t="s">
        <v>322</v>
      </c>
      <c r="G128" s="50" t="s">
        <v>381</v>
      </c>
      <c r="H128" s="50" t="s">
        <v>323</v>
      </c>
      <c r="I128" s="50" t="s">
        <v>382</v>
      </c>
      <c r="J128" s="50" t="s">
        <v>322</v>
      </c>
      <c r="K128" s="50" t="s">
        <v>381</v>
      </c>
      <c r="L128" s="3"/>
      <c r="M128" s="3"/>
      <c r="N128" s="17"/>
      <c r="P128"/>
      <c r="Q128"/>
      <c r="R128"/>
      <c r="S128"/>
    </row>
    <row r="129" spans="1:19" ht="15" x14ac:dyDescent="0.25">
      <c r="A129" s="17"/>
      <c r="B129" s="3"/>
      <c r="C129" s="8" t="s">
        <v>354</v>
      </c>
      <c r="D129" s="118">
        <f>Utbyggingsinformasjon!F72</f>
        <v>0</v>
      </c>
      <c r="E129" s="371">
        <f>Utbyggingsinformasjon!F74</f>
        <v>0</v>
      </c>
      <c r="F129" s="97">
        <v>0.09</v>
      </c>
      <c r="G129" s="300">
        <f>2*D129*E129*F129/1000</f>
        <v>0</v>
      </c>
      <c r="H129" s="118">
        <f>Utbyggingsinformasjon!M77</f>
        <v>0</v>
      </c>
      <c r="I129" s="371">
        <f>Utbyggingsinformasjon!F74</f>
        <v>0</v>
      </c>
      <c r="J129" s="97">
        <v>0.09</v>
      </c>
      <c r="K129" s="124">
        <f>2*H129*I129*J129/1000</f>
        <v>0</v>
      </c>
      <c r="L129" s="3"/>
      <c r="M129" s="3"/>
      <c r="N129" s="17"/>
      <c r="P129"/>
      <c r="Q129"/>
      <c r="R129"/>
      <c r="S129"/>
    </row>
    <row r="130" spans="1:19" ht="15" x14ac:dyDescent="0.25">
      <c r="A130" s="17"/>
      <c r="B130" s="3"/>
      <c r="C130" s="3"/>
      <c r="D130" s="3"/>
      <c r="E130" s="3"/>
      <c r="F130" s="3"/>
      <c r="G130" s="3"/>
      <c r="H130" s="3"/>
      <c r="I130" s="3"/>
      <c r="J130" s="3"/>
      <c r="K130" s="3"/>
      <c r="L130" s="3"/>
      <c r="M130" s="3"/>
      <c r="N130" s="17"/>
      <c r="P130"/>
      <c r="Q130"/>
      <c r="R130"/>
      <c r="S130"/>
    </row>
    <row r="131" spans="1:19" ht="15" x14ac:dyDescent="0.25">
      <c r="A131" s="17"/>
      <c r="B131" s="3"/>
      <c r="C131" s="4" t="s">
        <v>90</v>
      </c>
      <c r="D131" s="3"/>
      <c r="E131" s="3"/>
      <c r="F131" s="3"/>
      <c r="G131" s="3"/>
      <c r="H131" s="3"/>
      <c r="I131" s="3"/>
      <c r="J131" s="3"/>
      <c r="K131" s="3"/>
      <c r="L131" s="3"/>
      <c r="M131" s="3"/>
      <c r="N131" s="17"/>
      <c r="P131"/>
      <c r="Q131"/>
      <c r="R131"/>
      <c r="S131"/>
    </row>
    <row r="132" spans="1:19" ht="15" x14ac:dyDescent="0.25">
      <c r="A132" s="17"/>
      <c r="B132" s="3"/>
      <c r="C132" s="526" t="s">
        <v>89</v>
      </c>
      <c r="D132" s="375">
        <v>0</v>
      </c>
      <c r="E132" s="3"/>
      <c r="F132" s="3"/>
      <c r="G132" s="3"/>
      <c r="H132" s="3"/>
      <c r="I132" s="3"/>
      <c r="J132" s="3"/>
      <c r="K132" s="3"/>
      <c r="L132" s="3"/>
      <c r="M132" s="3"/>
      <c r="N132" s="17"/>
      <c r="P132"/>
      <c r="Q132"/>
      <c r="R132"/>
      <c r="S132"/>
    </row>
    <row r="133" spans="1:19" ht="15" x14ac:dyDescent="0.25">
      <c r="A133" s="17"/>
      <c r="B133" s="3"/>
      <c r="C133" s="527"/>
      <c r="D133" s="392">
        <v>0.2</v>
      </c>
      <c r="E133" s="3"/>
      <c r="F133" s="3"/>
      <c r="G133" s="3"/>
      <c r="H133" s="3"/>
      <c r="I133" s="3"/>
      <c r="J133" s="3"/>
      <c r="K133" s="3"/>
      <c r="L133" s="3"/>
      <c r="M133" s="3"/>
      <c r="N133" s="17"/>
      <c r="P133"/>
      <c r="Q133"/>
      <c r="R133"/>
      <c r="S133"/>
    </row>
    <row r="134" spans="1:19" ht="15" x14ac:dyDescent="0.25">
      <c r="A134" s="17"/>
      <c r="B134" s="3"/>
      <c r="C134" s="527"/>
      <c r="D134" s="392">
        <v>0.4</v>
      </c>
      <c r="E134" s="3"/>
      <c r="F134" s="3"/>
      <c r="G134" s="3"/>
      <c r="H134" s="3"/>
      <c r="I134" s="3"/>
      <c r="J134" s="3"/>
      <c r="K134" s="3"/>
      <c r="L134" s="3"/>
      <c r="M134" s="3"/>
      <c r="N134" s="17"/>
      <c r="P134"/>
      <c r="Q134"/>
      <c r="R134"/>
      <c r="S134"/>
    </row>
    <row r="135" spans="1:19" ht="15" x14ac:dyDescent="0.25">
      <c r="A135" s="17"/>
      <c r="B135" s="3"/>
      <c r="C135" s="527"/>
      <c r="D135" s="393">
        <v>0.6</v>
      </c>
      <c r="E135" s="3"/>
      <c r="F135" s="3"/>
      <c r="G135" s="3"/>
      <c r="H135" s="3"/>
      <c r="I135" s="3"/>
      <c r="J135" s="3"/>
      <c r="K135" s="3"/>
      <c r="L135" s="3"/>
      <c r="M135" s="3"/>
      <c r="N135" s="17"/>
      <c r="P135"/>
      <c r="Q135"/>
      <c r="R135"/>
      <c r="S135"/>
    </row>
    <row r="136" spans="1:19" ht="15" x14ac:dyDescent="0.25">
      <c r="A136" s="17"/>
      <c r="B136" s="3"/>
      <c r="C136" s="527"/>
      <c r="D136" s="393">
        <v>0.8</v>
      </c>
      <c r="E136" s="3"/>
      <c r="F136" s="3"/>
      <c r="G136" s="3"/>
      <c r="H136" s="3"/>
      <c r="I136" s="3"/>
      <c r="J136" s="3"/>
      <c r="K136" s="3"/>
      <c r="L136" s="3"/>
      <c r="M136" s="3"/>
      <c r="N136" s="17"/>
      <c r="P136"/>
      <c r="Q136"/>
      <c r="R136"/>
      <c r="S136"/>
    </row>
    <row r="137" spans="1:19" ht="15" x14ac:dyDescent="0.25">
      <c r="A137" s="17"/>
      <c r="B137" s="3"/>
      <c r="C137" s="528"/>
      <c r="D137" s="393">
        <v>1</v>
      </c>
      <c r="E137" s="3"/>
      <c r="F137" s="3"/>
      <c r="G137" s="3"/>
      <c r="H137" s="3"/>
      <c r="I137" s="3"/>
      <c r="J137" s="3"/>
      <c r="K137" s="3"/>
      <c r="L137" s="3"/>
      <c r="M137" s="3"/>
      <c r="N137" s="17"/>
      <c r="P137"/>
      <c r="Q137"/>
      <c r="R137"/>
      <c r="S137"/>
    </row>
    <row r="138" spans="1:19" ht="15" x14ac:dyDescent="0.25">
      <c r="A138" s="17"/>
      <c r="B138" s="3"/>
      <c r="C138" s="3"/>
      <c r="D138" s="3"/>
      <c r="E138" s="3"/>
      <c r="F138" s="3"/>
      <c r="G138" s="3"/>
      <c r="H138" s="3"/>
      <c r="I138" s="3"/>
      <c r="J138" s="3"/>
      <c r="K138" s="3"/>
      <c r="L138" s="3"/>
      <c r="M138" s="3"/>
      <c r="N138" s="17"/>
      <c r="P138"/>
      <c r="Q138"/>
      <c r="R138"/>
      <c r="S138"/>
    </row>
    <row r="139" spans="1:19" ht="13.5" thickBot="1" x14ac:dyDescent="0.25">
      <c r="A139" s="60"/>
      <c r="B139" s="61"/>
      <c r="C139" s="61"/>
      <c r="D139" s="61"/>
      <c r="E139" s="61"/>
      <c r="F139" s="61"/>
      <c r="G139" s="61"/>
      <c r="H139" s="62"/>
      <c r="I139" s="62"/>
      <c r="J139" s="61"/>
      <c r="K139" s="63"/>
      <c r="L139" s="61"/>
      <c r="M139" s="61"/>
      <c r="N139" s="60"/>
    </row>
    <row r="140" spans="1:19" ht="31.5" customHeight="1" thickBot="1" x14ac:dyDescent="0.25">
      <c r="A140" s="561" t="s">
        <v>438</v>
      </c>
      <c r="B140" s="561"/>
      <c r="C140" s="561"/>
      <c r="D140" s="561"/>
      <c r="E140" s="561"/>
      <c r="F140" s="561"/>
      <c r="G140" s="561"/>
      <c r="H140" s="561"/>
      <c r="I140" s="561"/>
      <c r="J140" s="561"/>
      <c r="K140" s="561"/>
      <c r="L140" s="561"/>
      <c r="M140" s="561"/>
      <c r="N140" s="561"/>
    </row>
    <row r="141" spans="1:19" x14ac:dyDescent="0.2">
      <c r="A141" s="17"/>
      <c r="B141" s="3"/>
      <c r="C141" s="13"/>
      <c r="D141" s="3"/>
      <c r="E141" s="3"/>
      <c r="F141" s="3"/>
      <c r="G141" s="3"/>
      <c r="H141" s="3"/>
      <c r="I141" s="3"/>
      <c r="J141" s="3"/>
      <c r="K141" s="3"/>
      <c r="L141" s="3"/>
      <c r="M141" s="3"/>
      <c r="N141" s="17"/>
    </row>
    <row r="142" spans="1:19" ht="48" customHeight="1" x14ac:dyDescent="0.2">
      <c r="A142" s="17"/>
      <c r="B142" s="3"/>
      <c r="C142" s="468" t="s">
        <v>347</v>
      </c>
      <c r="D142" s="468"/>
      <c r="E142" s="468"/>
      <c r="F142" s="468"/>
      <c r="G142" s="468"/>
      <c r="H142" s="468"/>
      <c r="I142" s="468"/>
      <c r="J142" s="468"/>
      <c r="K142" s="468"/>
      <c r="L142" s="468"/>
      <c r="M142" s="55"/>
      <c r="N142" s="32"/>
    </row>
    <row r="143" spans="1:19" x14ac:dyDescent="0.2">
      <c r="A143" s="17"/>
      <c r="B143" s="17"/>
      <c r="C143" s="17"/>
      <c r="D143" s="17"/>
      <c r="E143" s="17"/>
      <c r="F143" s="17"/>
      <c r="G143" s="17"/>
      <c r="H143" s="17"/>
      <c r="I143" s="17"/>
      <c r="J143" s="17"/>
      <c r="K143" s="17"/>
      <c r="L143" s="17"/>
      <c r="M143" s="17"/>
      <c r="N143" s="17"/>
    </row>
    <row r="144" spans="1:19" x14ac:dyDescent="0.2">
      <c r="A144" s="17"/>
      <c r="B144" s="3"/>
      <c r="C144" s="13"/>
      <c r="D144" s="3"/>
      <c r="E144" s="3"/>
      <c r="F144" s="3"/>
      <c r="G144" s="3"/>
      <c r="H144" s="3"/>
      <c r="I144" s="3"/>
      <c r="J144" s="3"/>
      <c r="K144" s="3"/>
      <c r="L144" s="3"/>
      <c r="M144" s="3"/>
      <c r="N144" s="17"/>
    </row>
    <row r="145" spans="1:14" x14ac:dyDescent="0.2">
      <c r="A145" s="17"/>
      <c r="B145" s="3"/>
      <c r="C145" s="4" t="s">
        <v>328</v>
      </c>
      <c r="D145" s="3"/>
      <c r="E145" s="3"/>
      <c r="F145" s="3"/>
      <c r="G145" s="3"/>
      <c r="H145" s="3"/>
      <c r="I145" s="3"/>
      <c r="J145" s="3"/>
      <c r="K145" s="3"/>
      <c r="L145" s="3"/>
      <c r="M145" s="3"/>
      <c r="N145" s="17"/>
    </row>
    <row r="146" spans="1:14" ht="27.75" customHeight="1" x14ac:dyDescent="0.2">
      <c r="A146" s="17"/>
      <c r="B146" s="3"/>
      <c r="C146" s="468" t="s">
        <v>359</v>
      </c>
      <c r="D146" s="468"/>
      <c r="E146" s="468"/>
      <c r="F146" s="468"/>
      <c r="G146" s="468"/>
      <c r="H146" s="468"/>
      <c r="I146" s="468"/>
      <c r="J146" s="468"/>
      <c r="K146" s="468"/>
      <c r="L146" s="468"/>
      <c r="M146" s="55"/>
      <c r="N146" s="17"/>
    </row>
    <row r="147" spans="1:14" x14ac:dyDescent="0.2">
      <c r="A147" s="17"/>
      <c r="B147" s="3"/>
      <c r="C147" s="3"/>
      <c r="D147" s="3"/>
      <c r="E147" s="3"/>
      <c r="F147" s="3"/>
      <c r="G147" s="3"/>
      <c r="H147" s="3"/>
      <c r="I147" s="3"/>
      <c r="J147" s="3"/>
      <c r="K147" s="3"/>
      <c r="L147" s="3"/>
      <c r="M147" s="3"/>
      <c r="N147" s="17"/>
    </row>
    <row r="148" spans="1:14" x14ac:dyDescent="0.2">
      <c r="A148" s="17"/>
      <c r="B148" s="3"/>
      <c r="C148" s="600" t="s">
        <v>283</v>
      </c>
      <c r="D148" s="580" t="s">
        <v>39</v>
      </c>
      <c r="E148" s="552"/>
      <c r="F148" s="15"/>
      <c r="G148" s="15"/>
      <c r="H148" s="15"/>
      <c r="I148" s="601"/>
      <c r="J148" s="601"/>
      <c r="K148" s="601"/>
      <c r="L148" s="601"/>
      <c r="M148" s="58"/>
      <c r="N148" s="17"/>
    </row>
    <row r="149" spans="1:14" ht="38.25" x14ac:dyDescent="0.2">
      <c r="A149" s="17"/>
      <c r="B149" s="3"/>
      <c r="C149" s="578"/>
      <c r="D149" s="53" t="s">
        <v>153</v>
      </c>
      <c r="E149" s="27" t="s">
        <v>154</v>
      </c>
      <c r="F149" s="15"/>
      <c r="G149" s="15"/>
      <c r="H149" s="18"/>
      <c r="I149" s="15"/>
      <c r="J149" s="15"/>
      <c r="K149" s="15"/>
      <c r="L149" s="15"/>
      <c r="M149" s="15"/>
      <c r="N149" s="17"/>
    </row>
    <row r="150" spans="1:14" x14ac:dyDescent="0.2">
      <c r="A150" s="21"/>
      <c r="B150" s="22"/>
      <c r="C150" s="19" t="s">
        <v>59</v>
      </c>
      <c r="D150" s="106">
        <v>110</v>
      </c>
      <c r="E150" s="107">
        <v>95</v>
      </c>
      <c r="F150" s="23"/>
      <c r="G150" s="23"/>
      <c r="H150" s="18"/>
      <c r="I150" s="24"/>
      <c r="J150" s="24"/>
      <c r="K150" s="24"/>
      <c r="L150" s="24"/>
      <c r="M150" s="24"/>
      <c r="N150" s="21"/>
    </row>
    <row r="151" spans="1:14" x14ac:dyDescent="0.2">
      <c r="A151" s="21"/>
      <c r="B151" s="22"/>
      <c r="C151" s="20" t="s">
        <v>40</v>
      </c>
      <c r="D151" s="115">
        <v>96.7</v>
      </c>
      <c r="E151" s="111">
        <v>88.7</v>
      </c>
      <c r="F151" s="23"/>
      <c r="G151" s="23"/>
      <c r="H151" s="18"/>
      <c r="I151" s="24"/>
      <c r="J151" s="24"/>
      <c r="K151" s="24"/>
      <c r="L151" s="24"/>
      <c r="M151" s="24"/>
      <c r="N151" s="21"/>
    </row>
    <row r="152" spans="1:14" x14ac:dyDescent="0.2">
      <c r="A152" s="21"/>
      <c r="B152" s="22"/>
      <c r="C152" s="20" t="s">
        <v>41</v>
      </c>
      <c r="D152" s="115">
        <v>79.099999999999994</v>
      </c>
      <c r="E152" s="111">
        <v>73.7</v>
      </c>
      <c r="F152" s="23"/>
      <c r="G152" s="23"/>
      <c r="H152" s="18"/>
      <c r="I152" s="24"/>
      <c r="J152" s="24"/>
      <c r="K152" s="24"/>
      <c r="L152" s="24"/>
      <c r="M152" s="24"/>
      <c r="N152" s="21"/>
    </row>
    <row r="153" spans="1:14" x14ac:dyDescent="0.2">
      <c r="A153" s="17"/>
      <c r="B153" s="3"/>
      <c r="C153" s="3"/>
      <c r="D153" s="3"/>
      <c r="E153" s="3"/>
      <c r="F153" s="3"/>
      <c r="G153" s="3"/>
      <c r="H153" s="3"/>
      <c r="I153" s="3"/>
      <c r="J153" s="3"/>
      <c r="K153" s="3"/>
      <c r="L153" s="3"/>
      <c r="M153" s="3"/>
      <c r="N153" s="17"/>
    </row>
    <row r="154" spans="1:14" x14ac:dyDescent="0.2">
      <c r="A154" s="17"/>
      <c r="B154" s="3"/>
      <c r="C154" s="3"/>
      <c r="D154" s="3"/>
      <c r="E154" s="3"/>
      <c r="F154" s="3"/>
      <c r="G154" s="3"/>
      <c r="H154" s="3"/>
      <c r="I154" s="3"/>
      <c r="J154" s="3"/>
      <c r="K154" s="3"/>
      <c r="L154" s="3"/>
      <c r="M154" s="3"/>
      <c r="N154" s="17"/>
    </row>
    <row r="155" spans="1:14" x14ac:dyDescent="0.2">
      <c r="A155" s="17"/>
      <c r="B155" s="17"/>
      <c r="C155" s="17"/>
      <c r="D155" s="17"/>
      <c r="E155" s="17"/>
      <c r="F155" s="17"/>
      <c r="G155" s="17"/>
      <c r="H155" s="17"/>
      <c r="I155" s="17"/>
      <c r="J155" s="17"/>
      <c r="K155" s="17"/>
      <c r="L155" s="17"/>
      <c r="M155" s="17"/>
      <c r="N155" s="17"/>
    </row>
    <row r="156" spans="1:14" x14ac:dyDescent="0.2">
      <c r="A156" s="17"/>
      <c r="B156" s="3"/>
      <c r="C156" s="3"/>
      <c r="D156" s="3"/>
      <c r="E156" s="3"/>
      <c r="F156" s="3"/>
      <c r="G156" s="3"/>
      <c r="H156" s="3"/>
      <c r="I156" s="3"/>
      <c r="J156" s="3"/>
      <c r="K156" s="3"/>
      <c r="L156" s="3"/>
      <c r="M156" s="3"/>
      <c r="N156" s="17"/>
    </row>
    <row r="157" spans="1:14" x14ac:dyDescent="0.2">
      <c r="A157" s="17"/>
      <c r="B157" s="3"/>
      <c r="C157" s="4" t="s">
        <v>42</v>
      </c>
      <c r="D157" s="3"/>
      <c r="E157" s="3"/>
      <c r="F157" s="3"/>
      <c r="G157" s="3"/>
      <c r="H157" s="3"/>
      <c r="I157" s="3"/>
      <c r="J157" s="3"/>
      <c r="K157" s="3"/>
      <c r="L157" s="3"/>
      <c r="M157" s="3"/>
      <c r="N157" s="17"/>
    </row>
    <row r="158" spans="1:14" ht="72" customHeight="1" x14ac:dyDescent="0.2">
      <c r="A158" s="17"/>
      <c r="B158" s="3"/>
      <c r="C158" s="468" t="s">
        <v>348</v>
      </c>
      <c r="D158" s="468"/>
      <c r="E158" s="468"/>
      <c r="F158" s="468"/>
      <c r="G158" s="468"/>
      <c r="H158" s="468"/>
      <c r="I158" s="468"/>
      <c r="J158" s="468"/>
      <c r="K158" s="468"/>
      <c r="L158" s="468"/>
      <c r="M158" s="55"/>
      <c r="N158" s="17"/>
    </row>
    <row r="159" spans="1:14" x14ac:dyDescent="0.2">
      <c r="A159" s="17"/>
      <c r="B159" s="3"/>
      <c r="C159" s="4"/>
      <c r="D159" s="4"/>
      <c r="E159" s="25"/>
      <c r="F159" s="544"/>
      <c r="G159" s="544"/>
      <c r="H159" s="544"/>
      <c r="I159" s="544"/>
      <c r="J159" s="15"/>
      <c r="K159" s="15"/>
      <c r="L159" s="16"/>
      <c r="M159" s="16"/>
      <c r="N159" s="17"/>
    </row>
    <row r="160" spans="1:14" ht="12.75" customHeight="1" x14ac:dyDescent="0.2">
      <c r="A160" s="17"/>
      <c r="B160" s="3"/>
      <c r="C160" s="546" t="s">
        <v>43</v>
      </c>
      <c r="D160" s="548"/>
      <c r="E160" s="541" t="s">
        <v>107</v>
      </c>
      <c r="F160" s="546" t="s">
        <v>155</v>
      </c>
      <c r="G160" s="547"/>
      <c r="H160" s="547"/>
      <c r="I160" s="548"/>
      <c r="J160" s="33"/>
      <c r="K160" s="33"/>
      <c r="L160" s="33"/>
      <c r="M160" s="58"/>
      <c r="N160" s="17"/>
    </row>
    <row r="161" spans="1:14" x14ac:dyDescent="0.2">
      <c r="A161" s="17"/>
      <c r="B161" s="3"/>
      <c r="C161" s="549"/>
      <c r="D161" s="551"/>
      <c r="E161" s="545"/>
      <c r="F161" s="549"/>
      <c r="G161" s="550"/>
      <c r="H161" s="550"/>
      <c r="I161" s="551"/>
      <c r="J161" s="15"/>
      <c r="K161" s="15"/>
      <c r="L161" s="15"/>
      <c r="M161" s="15"/>
      <c r="N161" s="17"/>
    </row>
    <row r="162" spans="1:14" x14ac:dyDescent="0.2">
      <c r="A162" s="21"/>
      <c r="B162" s="22"/>
      <c r="C162" s="89" t="s">
        <v>93</v>
      </c>
      <c r="D162" s="86" t="s">
        <v>349</v>
      </c>
      <c r="E162" s="108">
        <v>18</v>
      </c>
      <c r="F162" s="554" t="s">
        <v>48</v>
      </c>
      <c r="G162" s="555"/>
      <c r="H162" s="555"/>
      <c r="I162" s="556"/>
      <c r="J162" s="24"/>
      <c r="K162" s="24"/>
      <c r="L162" s="24"/>
      <c r="M162" s="24"/>
      <c r="N162" s="21"/>
    </row>
    <row r="163" spans="1:14" x14ac:dyDescent="0.2">
      <c r="A163" s="21"/>
      <c r="B163" s="22"/>
      <c r="C163" s="87"/>
      <c r="D163" s="88" t="s">
        <v>350</v>
      </c>
      <c r="E163" s="109">
        <v>136</v>
      </c>
      <c r="F163" s="557" t="s">
        <v>49</v>
      </c>
      <c r="G163" s="558"/>
      <c r="H163" s="558"/>
      <c r="I163" s="559"/>
      <c r="J163" s="24"/>
      <c r="K163" s="24"/>
      <c r="L163" s="24"/>
      <c r="M163" s="24"/>
      <c r="N163" s="21"/>
    </row>
    <row r="164" spans="1:14" x14ac:dyDescent="0.2">
      <c r="A164" s="21"/>
      <c r="B164" s="22"/>
      <c r="C164" s="51" t="s">
        <v>44</v>
      </c>
      <c r="D164" s="84"/>
      <c r="E164" s="107">
        <v>102</v>
      </c>
      <c r="F164" s="566" t="s">
        <v>407</v>
      </c>
      <c r="G164" s="567"/>
      <c r="H164" s="567"/>
      <c r="I164" s="568"/>
      <c r="J164" s="24"/>
      <c r="K164" s="24"/>
      <c r="L164" s="24"/>
      <c r="M164" s="24"/>
      <c r="N164" s="21"/>
    </row>
    <row r="165" spans="1:14" x14ac:dyDescent="0.2">
      <c r="A165" s="21"/>
      <c r="B165" s="22"/>
      <c r="C165" s="85" t="s">
        <v>45</v>
      </c>
      <c r="D165" s="86" t="s">
        <v>349</v>
      </c>
      <c r="E165" s="116">
        <f>E162/2.18</f>
        <v>8.2568807339449535</v>
      </c>
      <c r="F165" s="575" t="s">
        <v>400</v>
      </c>
      <c r="G165" s="576"/>
      <c r="H165" s="576"/>
      <c r="I165" s="577"/>
      <c r="J165" s="24"/>
      <c r="K165" s="24"/>
      <c r="L165" s="24"/>
      <c r="M165" s="24"/>
      <c r="N165" s="21"/>
    </row>
    <row r="166" spans="1:14" x14ac:dyDescent="0.2">
      <c r="A166" s="21"/>
      <c r="B166" s="22"/>
      <c r="C166" s="87"/>
      <c r="D166" s="88" t="s">
        <v>350</v>
      </c>
      <c r="E166" s="110">
        <f>E163/2.18</f>
        <v>62.385321100917423</v>
      </c>
      <c r="F166" s="563" t="s">
        <v>400</v>
      </c>
      <c r="G166" s="564"/>
      <c r="H166" s="564"/>
      <c r="I166" s="565"/>
      <c r="J166" s="24"/>
      <c r="K166" s="24"/>
      <c r="L166" s="24"/>
      <c r="M166" s="24"/>
      <c r="N166" s="21"/>
    </row>
    <row r="167" spans="1:14" x14ac:dyDescent="0.2">
      <c r="A167" s="21"/>
      <c r="B167" s="22"/>
      <c r="C167" s="89" t="s">
        <v>351</v>
      </c>
      <c r="D167" s="86" t="s">
        <v>349</v>
      </c>
      <c r="E167" s="116">
        <f>E162/2.45</f>
        <v>7.3469387755102034</v>
      </c>
      <c r="F167" s="575" t="s">
        <v>401</v>
      </c>
      <c r="G167" s="576"/>
      <c r="H167" s="576"/>
      <c r="I167" s="577"/>
      <c r="J167" s="24"/>
      <c r="K167" s="24"/>
      <c r="L167" s="24"/>
      <c r="M167" s="24"/>
      <c r="N167" s="21"/>
    </row>
    <row r="168" spans="1:14" x14ac:dyDescent="0.2">
      <c r="A168" s="21"/>
      <c r="B168" s="22"/>
      <c r="C168" s="90"/>
      <c r="D168" s="88" t="s">
        <v>350</v>
      </c>
      <c r="E168" s="110">
        <f>E163/2.45</f>
        <v>55.510204081632651</v>
      </c>
      <c r="F168" s="563" t="s">
        <v>401</v>
      </c>
      <c r="G168" s="564"/>
      <c r="H168" s="564"/>
      <c r="I168" s="565"/>
      <c r="J168" s="24"/>
      <c r="K168" s="24"/>
      <c r="L168" s="24"/>
      <c r="M168" s="24"/>
      <c r="N168" s="21"/>
    </row>
    <row r="169" spans="1:14" x14ac:dyDescent="0.2">
      <c r="A169" s="21"/>
      <c r="B169" s="22"/>
      <c r="C169" s="52" t="s">
        <v>46</v>
      </c>
      <c r="D169" s="83"/>
      <c r="E169" s="111">
        <v>89.2</v>
      </c>
      <c r="F169" s="566" t="s">
        <v>408</v>
      </c>
      <c r="G169" s="567"/>
      <c r="H169" s="567"/>
      <c r="I169" s="568"/>
      <c r="J169" s="24"/>
      <c r="K169" s="24"/>
      <c r="L169" s="24"/>
      <c r="M169" s="24"/>
      <c r="N169" s="21"/>
    </row>
    <row r="170" spans="1:14" x14ac:dyDescent="0.2">
      <c r="A170" s="21"/>
      <c r="B170" s="22"/>
      <c r="C170" s="51" t="s">
        <v>47</v>
      </c>
      <c r="D170" s="84"/>
      <c r="E170" s="107">
        <v>22</v>
      </c>
      <c r="F170" s="569" t="s">
        <v>352</v>
      </c>
      <c r="G170" s="570"/>
      <c r="H170" s="570"/>
      <c r="I170" s="571"/>
      <c r="J170" s="24"/>
      <c r="K170" s="24"/>
      <c r="L170" s="24"/>
      <c r="M170" s="24"/>
      <c r="N170" s="21"/>
    </row>
    <row r="171" spans="1:14" x14ac:dyDescent="0.2">
      <c r="A171" s="21"/>
      <c r="B171" s="22"/>
      <c r="C171" s="52" t="s">
        <v>92</v>
      </c>
      <c r="D171" s="83"/>
      <c r="E171" s="107">
        <v>80</v>
      </c>
      <c r="F171" s="572" t="s">
        <v>409</v>
      </c>
      <c r="G171" s="573"/>
      <c r="H171" s="573"/>
      <c r="I171" s="574"/>
      <c r="J171" s="24"/>
      <c r="K171" s="24"/>
      <c r="L171" s="24"/>
      <c r="M171" s="24"/>
      <c r="N171" s="21"/>
    </row>
    <row r="172" spans="1:14" x14ac:dyDescent="0.2">
      <c r="A172" s="17"/>
      <c r="B172" s="3"/>
      <c r="C172" s="3"/>
      <c r="D172" s="3"/>
      <c r="E172" s="16"/>
      <c r="F172" s="16"/>
      <c r="G172" s="26"/>
      <c r="H172" s="16"/>
      <c r="I172" s="26"/>
      <c r="J172" s="26"/>
      <c r="K172" s="26"/>
      <c r="L172" s="16"/>
      <c r="M172" s="16"/>
      <c r="N172" s="17"/>
    </row>
    <row r="173" spans="1:14" x14ac:dyDescent="0.2">
      <c r="A173" s="17"/>
      <c r="B173" s="3"/>
      <c r="C173" s="3"/>
      <c r="D173" s="3"/>
      <c r="E173" s="3"/>
      <c r="F173" s="3"/>
      <c r="G173" s="3"/>
      <c r="H173" s="3"/>
      <c r="I173" s="3"/>
      <c r="J173" s="3"/>
      <c r="K173" s="3"/>
      <c r="L173" s="3"/>
      <c r="M173" s="3"/>
      <c r="N173" s="17"/>
    </row>
    <row r="174" spans="1:14" x14ac:dyDescent="0.2">
      <c r="A174" s="17"/>
      <c r="B174" s="17"/>
      <c r="C174" s="17"/>
      <c r="D174" s="17"/>
      <c r="E174" s="17"/>
      <c r="F174" s="17"/>
      <c r="G174" s="17"/>
      <c r="H174" s="17"/>
      <c r="I174" s="17"/>
      <c r="J174" s="17"/>
      <c r="K174" s="17"/>
      <c r="L174" s="17"/>
      <c r="M174" s="17"/>
      <c r="N174" s="17"/>
    </row>
    <row r="175" spans="1:14" x14ac:dyDescent="0.2">
      <c r="A175" s="17"/>
      <c r="B175" s="3"/>
      <c r="C175" s="3"/>
      <c r="D175" s="3"/>
      <c r="E175" s="3"/>
      <c r="F175" s="3"/>
      <c r="G175" s="3"/>
      <c r="H175" s="3"/>
      <c r="I175" s="3"/>
      <c r="J175" s="3"/>
      <c r="K175" s="3"/>
      <c r="L175" s="3"/>
      <c r="M175" s="3"/>
      <c r="N175" s="17"/>
    </row>
    <row r="176" spans="1:14" x14ac:dyDescent="0.2">
      <c r="A176" s="17"/>
      <c r="B176" s="3"/>
      <c r="C176" s="4" t="s">
        <v>402</v>
      </c>
      <c r="D176" s="3"/>
      <c r="E176" s="3"/>
      <c r="F176" s="3"/>
      <c r="G176" s="3"/>
      <c r="H176" s="3"/>
      <c r="I176" s="13"/>
      <c r="J176" s="3"/>
      <c r="K176" s="3"/>
      <c r="L176" s="3"/>
      <c r="M176" s="3"/>
      <c r="N176" s="17"/>
    </row>
    <row r="177" spans="1:14" ht="26.25" customHeight="1" x14ac:dyDescent="0.2">
      <c r="A177" s="17"/>
      <c r="B177" s="3"/>
      <c r="C177" s="468" t="s">
        <v>386</v>
      </c>
      <c r="D177" s="468"/>
      <c r="E177" s="468"/>
      <c r="F177" s="468"/>
      <c r="G177" s="468"/>
      <c r="H177" s="468"/>
      <c r="I177" s="468"/>
      <c r="J177" s="468"/>
      <c r="K177" s="3"/>
      <c r="L177" s="3"/>
      <c r="M177" s="3"/>
      <c r="N177" s="17"/>
    </row>
    <row r="178" spans="1:14" x14ac:dyDescent="0.2">
      <c r="A178" s="17"/>
      <c r="B178" s="3"/>
      <c r="C178" s="4"/>
      <c r="D178" s="3"/>
      <c r="E178" s="3"/>
      <c r="F178" s="3"/>
      <c r="G178" s="3"/>
      <c r="H178" s="3"/>
      <c r="I178" s="3"/>
      <c r="J178" s="3"/>
      <c r="K178" s="3"/>
      <c r="L178" s="3"/>
      <c r="M178" s="3"/>
      <c r="N178" s="17"/>
    </row>
    <row r="179" spans="1:14" x14ac:dyDescent="0.2">
      <c r="A179" s="17"/>
      <c r="B179" s="3"/>
      <c r="C179" s="5" t="s">
        <v>1</v>
      </c>
      <c r="D179" s="541" t="s">
        <v>83</v>
      </c>
      <c r="E179" s="541" t="s">
        <v>106</v>
      </c>
      <c r="F179" s="541" t="s">
        <v>85</v>
      </c>
      <c r="G179" s="535" t="s">
        <v>54</v>
      </c>
      <c r="H179" s="536"/>
      <c r="I179" s="535" t="s">
        <v>55</v>
      </c>
      <c r="J179" s="536"/>
      <c r="K179" s="3"/>
      <c r="L179" s="3"/>
      <c r="M179" s="3"/>
      <c r="N179" s="78"/>
    </row>
    <row r="180" spans="1:14" ht="25.5" x14ac:dyDescent="0.2">
      <c r="A180" s="17"/>
      <c r="B180" s="3"/>
      <c r="C180" s="6"/>
      <c r="D180" s="584"/>
      <c r="E180" s="584"/>
      <c r="F180" s="545"/>
      <c r="G180" s="278" t="s">
        <v>108</v>
      </c>
      <c r="H180" s="50" t="s">
        <v>109</v>
      </c>
      <c r="I180" s="117" t="s">
        <v>107</v>
      </c>
      <c r="J180" s="50" t="s">
        <v>109</v>
      </c>
      <c r="K180" s="3"/>
      <c r="L180" s="3"/>
      <c r="M180" s="3"/>
      <c r="N180" s="17"/>
    </row>
    <row r="181" spans="1:14" x14ac:dyDescent="0.2">
      <c r="A181" s="17"/>
      <c r="B181" s="3"/>
      <c r="C181" s="8" t="s">
        <v>355</v>
      </c>
      <c r="D181" s="369">
        <f>SUM(Utbyggingsinformasjon!$G$36:$G$41)</f>
        <v>0</v>
      </c>
      <c r="E181" s="371">
        <f>D150</f>
        <v>110</v>
      </c>
      <c r="F181" s="195">
        <f>D181*E181</f>
        <v>0</v>
      </c>
      <c r="G181" s="582">
        <f>E162</f>
        <v>18</v>
      </c>
      <c r="H181" s="360">
        <f>(F181*G181)/1000000</f>
        <v>0</v>
      </c>
      <c r="I181" s="582">
        <f>E163</f>
        <v>136</v>
      </c>
      <c r="J181" s="120">
        <f>(F181*I181)/1000000</f>
        <v>0</v>
      </c>
      <c r="K181" s="3"/>
      <c r="L181" s="3"/>
      <c r="M181" s="3"/>
      <c r="N181" s="17"/>
    </row>
    <row r="182" spans="1:14" x14ac:dyDescent="0.2">
      <c r="A182" s="17"/>
      <c r="B182" s="3"/>
      <c r="C182" s="8" t="s">
        <v>154</v>
      </c>
      <c r="D182" s="369">
        <f>SUM(Utbyggingsinformasjon!$G$42:$G$43)</f>
        <v>0</v>
      </c>
      <c r="E182" s="371">
        <f>E150</f>
        <v>95</v>
      </c>
      <c r="F182" s="195">
        <f>D182*E182</f>
        <v>0</v>
      </c>
      <c r="G182" s="583"/>
      <c r="H182" s="360">
        <f>(F182*G181)/1000000</f>
        <v>0</v>
      </c>
      <c r="I182" s="583"/>
      <c r="J182" s="120">
        <f>(F182*I181)/1000000</f>
        <v>0</v>
      </c>
      <c r="K182" s="3"/>
      <c r="L182" s="3"/>
      <c r="M182" s="3"/>
      <c r="N182" s="17"/>
    </row>
    <row r="183" spans="1:14" x14ac:dyDescent="0.2">
      <c r="A183" s="17"/>
      <c r="B183" s="3"/>
      <c r="C183" s="3"/>
      <c r="D183" s="99"/>
      <c r="E183" s="99"/>
      <c r="F183" s="99"/>
      <c r="G183" s="279" t="s">
        <v>120</v>
      </c>
      <c r="H183" s="436">
        <f>SUM(H181:H182)</f>
        <v>0</v>
      </c>
      <c r="I183" s="279" t="s">
        <v>120</v>
      </c>
      <c r="J183" s="436">
        <f>SUM(J181:J182)</f>
        <v>0</v>
      </c>
      <c r="K183" s="3"/>
      <c r="L183" s="3"/>
      <c r="M183" s="3"/>
      <c r="N183" s="17"/>
    </row>
    <row r="184" spans="1:14" x14ac:dyDescent="0.2">
      <c r="A184" s="17"/>
      <c r="B184" s="3"/>
      <c r="C184" s="3"/>
      <c r="D184" s="3"/>
      <c r="E184" s="3"/>
      <c r="F184" s="3"/>
      <c r="G184" s="279" t="s">
        <v>242</v>
      </c>
      <c r="H184" s="436">
        <f>H183*60</f>
        <v>0</v>
      </c>
      <c r="I184" s="279" t="s">
        <v>242</v>
      </c>
      <c r="J184" s="436">
        <f>J183*60</f>
        <v>0</v>
      </c>
      <c r="K184" s="3"/>
      <c r="L184" s="3"/>
      <c r="M184" s="3"/>
      <c r="N184" s="17"/>
    </row>
    <row r="185" spans="1:14" x14ac:dyDescent="0.2">
      <c r="A185" s="17"/>
      <c r="B185" s="3"/>
      <c r="C185" s="3"/>
      <c r="D185" s="3"/>
      <c r="E185" s="3"/>
      <c r="F185" s="3"/>
      <c r="G185" s="3"/>
      <c r="H185" s="3"/>
      <c r="I185" s="3"/>
      <c r="J185" s="3"/>
      <c r="K185" s="3"/>
      <c r="L185" s="3"/>
      <c r="M185" s="3"/>
      <c r="N185" s="17"/>
    </row>
    <row r="186" spans="1:14" x14ac:dyDescent="0.2">
      <c r="A186" s="17"/>
      <c r="B186" s="17"/>
      <c r="C186" s="17"/>
      <c r="D186" s="17"/>
      <c r="E186" s="17"/>
      <c r="F186" s="17"/>
      <c r="G186" s="17"/>
      <c r="H186" s="17"/>
      <c r="I186" s="17"/>
      <c r="J186" s="17"/>
      <c r="K186" s="17"/>
      <c r="L186" s="17"/>
      <c r="M186" s="17"/>
      <c r="N186" s="17"/>
    </row>
    <row r="187" spans="1:14" x14ac:dyDescent="0.2">
      <c r="A187" s="17"/>
      <c r="B187" s="3"/>
      <c r="C187" s="3"/>
      <c r="D187" s="3"/>
      <c r="E187" s="3"/>
      <c r="F187" s="3"/>
      <c r="G187" s="3"/>
      <c r="H187" s="3"/>
      <c r="I187" s="3"/>
      <c r="J187" s="3"/>
      <c r="K187" s="3"/>
      <c r="L187" s="3"/>
      <c r="M187" s="3"/>
      <c r="N187" s="17"/>
    </row>
    <row r="188" spans="1:14" x14ac:dyDescent="0.2">
      <c r="A188" s="17"/>
      <c r="B188" s="3"/>
      <c r="C188" s="4" t="s">
        <v>94</v>
      </c>
      <c r="D188" s="3"/>
      <c r="E188" s="3"/>
      <c r="F188" s="3"/>
      <c r="G188" s="3"/>
      <c r="H188" s="3"/>
      <c r="I188" s="3"/>
      <c r="J188" s="3"/>
      <c r="K188" s="3"/>
      <c r="L188" s="3"/>
      <c r="M188" s="3"/>
      <c r="N188" s="17"/>
    </row>
    <row r="189" spans="1:14" ht="25.5" customHeight="1" x14ac:dyDescent="0.2">
      <c r="A189" s="17"/>
      <c r="B189" s="3"/>
      <c r="C189" s="468" t="s">
        <v>271</v>
      </c>
      <c r="D189" s="468"/>
      <c r="E189" s="468"/>
      <c r="F189" s="468"/>
      <c r="G189" s="468"/>
      <c r="H189" s="468"/>
      <c r="I189" s="468"/>
      <c r="J189" s="468"/>
      <c r="K189" s="468"/>
      <c r="L189" s="468"/>
      <c r="M189" s="55"/>
      <c r="N189" s="17"/>
    </row>
    <row r="190" spans="1:14" x14ac:dyDescent="0.2">
      <c r="A190" s="17"/>
      <c r="B190" s="3"/>
      <c r="C190" s="4"/>
      <c r="D190" s="3"/>
      <c r="E190" s="3"/>
      <c r="F190" s="3"/>
      <c r="G190" s="3"/>
      <c r="H190" s="3"/>
      <c r="I190" s="3"/>
      <c r="J190" s="3"/>
      <c r="K190" s="3"/>
      <c r="L190" s="3"/>
      <c r="M190" s="3"/>
      <c r="N190" s="17"/>
    </row>
    <row r="191" spans="1:14" x14ac:dyDescent="0.2">
      <c r="A191" s="17"/>
      <c r="B191" s="3"/>
      <c r="C191" s="578" t="s">
        <v>272</v>
      </c>
      <c r="D191" s="580" t="s">
        <v>50</v>
      </c>
      <c r="E191" s="552"/>
      <c r="F191" s="552" t="s">
        <v>105</v>
      </c>
      <c r="G191" s="553"/>
      <c r="H191" s="3"/>
      <c r="I191" s="3"/>
      <c r="J191" s="3"/>
      <c r="K191" s="3"/>
      <c r="L191" s="3"/>
      <c r="M191" s="3"/>
      <c r="N191" s="17"/>
    </row>
    <row r="192" spans="1:14" x14ac:dyDescent="0.2">
      <c r="A192" s="17"/>
      <c r="B192" s="3"/>
      <c r="C192" s="579"/>
      <c r="D192" s="171" t="s">
        <v>384</v>
      </c>
      <c r="E192" s="48" t="s">
        <v>51</v>
      </c>
      <c r="F192" s="171" t="s">
        <v>54</v>
      </c>
      <c r="G192" s="366" t="s">
        <v>55</v>
      </c>
      <c r="H192" s="3"/>
      <c r="I192" s="3"/>
      <c r="J192" s="3"/>
      <c r="K192" s="3"/>
      <c r="L192" s="3"/>
      <c r="M192" s="3"/>
      <c r="N192" s="17"/>
    </row>
    <row r="193" spans="1:14" x14ac:dyDescent="0.2">
      <c r="A193" s="17"/>
      <c r="B193" s="3"/>
      <c r="C193" s="12" t="s">
        <v>297</v>
      </c>
      <c r="D193" s="390">
        <v>1</v>
      </c>
      <c r="E193" s="54"/>
      <c r="F193" s="389">
        <f>($E$162*$D193)+($E$164*$E193)</f>
        <v>18</v>
      </c>
      <c r="G193" s="49">
        <f>($E$163*$D193)+($E$164*$E193)</f>
        <v>136</v>
      </c>
      <c r="H193" s="3"/>
      <c r="I193" s="3"/>
      <c r="J193" s="3"/>
      <c r="K193" s="3"/>
      <c r="L193" s="3"/>
      <c r="M193" s="3"/>
      <c r="N193" s="17"/>
    </row>
    <row r="194" spans="1:14" x14ac:dyDescent="0.2">
      <c r="A194" s="17"/>
      <c r="B194" s="3"/>
      <c r="C194" s="12" t="s">
        <v>442</v>
      </c>
      <c r="D194" s="387">
        <v>0.95</v>
      </c>
      <c r="E194" s="381">
        <v>0.05</v>
      </c>
      <c r="F194" s="389">
        <f>($E$162*$D194)+($E$164*$E194)</f>
        <v>22.2</v>
      </c>
      <c r="G194" s="49">
        <f>($E$163*$D194)+($E$164*$E194)</f>
        <v>134.29999999999998</v>
      </c>
      <c r="H194" s="3"/>
      <c r="I194" s="3"/>
      <c r="J194" s="3"/>
      <c r="K194" s="3"/>
      <c r="L194" s="3"/>
      <c r="M194" s="3"/>
      <c r="N194" s="17"/>
    </row>
    <row r="195" spans="1:14" x14ac:dyDescent="0.2">
      <c r="A195" s="17"/>
      <c r="B195" s="3"/>
      <c r="C195" s="16"/>
      <c r="D195" s="37"/>
      <c r="E195" s="37"/>
      <c r="F195" s="24"/>
      <c r="G195" s="119"/>
      <c r="H195" s="3"/>
      <c r="I195" s="3"/>
      <c r="J195" s="3"/>
      <c r="K195" s="3"/>
      <c r="L195" s="3"/>
      <c r="M195" s="3"/>
      <c r="N195" s="17"/>
    </row>
    <row r="196" spans="1:14" ht="22.5" customHeight="1" x14ac:dyDescent="0.2">
      <c r="A196" s="17"/>
      <c r="B196" s="3"/>
      <c r="C196" s="3"/>
      <c r="D196" s="376" t="s">
        <v>414</v>
      </c>
      <c r="E196" s="120" t="str">
        <f>Utbyggingsinformasjon!M92</f>
        <v>Strøm</v>
      </c>
      <c r="F196" s="336">
        <f>VLOOKUP(E196,C193:G194,4,FALSE)</f>
        <v>18</v>
      </c>
      <c r="G196" s="336">
        <f>VLOOKUP(E196,C193:G194,5,FALSE)</f>
        <v>136</v>
      </c>
      <c r="H196" s="3"/>
      <c r="I196" s="3"/>
      <c r="J196" s="3"/>
      <c r="K196" s="3"/>
      <c r="L196" s="3"/>
      <c r="M196" s="3"/>
      <c r="N196" s="17"/>
    </row>
    <row r="197" spans="1:14" x14ac:dyDescent="0.2">
      <c r="A197" s="17"/>
      <c r="B197" s="3"/>
      <c r="C197" s="3"/>
      <c r="D197" s="3"/>
      <c r="E197" s="26"/>
      <c r="F197" s="26"/>
      <c r="G197" s="26"/>
      <c r="H197" s="3"/>
      <c r="I197" s="3"/>
      <c r="J197" s="3"/>
      <c r="K197" s="3"/>
      <c r="L197" s="3"/>
      <c r="M197" s="3"/>
      <c r="N197" s="17"/>
    </row>
    <row r="198" spans="1:14" x14ac:dyDescent="0.2">
      <c r="A198" s="17"/>
      <c r="B198" s="3"/>
      <c r="C198" s="3"/>
      <c r="D198" s="3"/>
      <c r="E198" s="3"/>
      <c r="F198" s="3"/>
      <c r="G198" s="3"/>
      <c r="H198" s="3"/>
      <c r="I198" s="3"/>
      <c r="J198" s="3"/>
      <c r="K198" s="3"/>
      <c r="L198" s="3"/>
      <c r="M198" s="3"/>
      <c r="N198" s="17"/>
    </row>
    <row r="199" spans="1:14" x14ac:dyDescent="0.2">
      <c r="A199" s="17"/>
      <c r="B199" s="17"/>
      <c r="C199" s="17"/>
      <c r="D199" s="17"/>
      <c r="E199" s="17"/>
      <c r="F199" s="17"/>
      <c r="G199" s="17"/>
      <c r="H199" s="17"/>
      <c r="I199" s="17"/>
      <c r="J199" s="17"/>
      <c r="K199" s="17"/>
      <c r="L199" s="17"/>
      <c r="M199" s="17"/>
      <c r="N199" s="17"/>
    </row>
    <row r="200" spans="1:14" x14ac:dyDescent="0.2">
      <c r="A200" s="17"/>
      <c r="B200" s="3"/>
      <c r="C200" s="3"/>
      <c r="D200" s="3"/>
      <c r="E200" s="3"/>
      <c r="F200" s="3"/>
      <c r="G200" s="3"/>
      <c r="H200" s="3"/>
      <c r="I200" s="3"/>
      <c r="J200" s="3"/>
      <c r="K200" s="3"/>
      <c r="L200" s="3"/>
      <c r="M200" s="3"/>
      <c r="N200" s="17"/>
    </row>
    <row r="201" spans="1:14" x14ac:dyDescent="0.2">
      <c r="A201" s="17"/>
      <c r="B201" s="3"/>
      <c r="C201" s="4" t="s">
        <v>95</v>
      </c>
      <c r="D201" s="3"/>
      <c r="E201" s="3"/>
      <c r="F201" s="3"/>
      <c r="G201" s="3"/>
      <c r="H201" s="3"/>
      <c r="I201" s="3"/>
      <c r="J201" s="3"/>
      <c r="K201" s="3"/>
      <c r="L201" s="3"/>
      <c r="M201" s="3"/>
      <c r="N201" s="17"/>
    </row>
    <row r="202" spans="1:14" ht="30.75" customHeight="1" x14ac:dyDescent="0.2">
      <c r="A202" s="17"/>
      <c r="B202" s="3"/>
      <c r="C202" s="468" t="s">
        <v>425</v>
      </c>
      <c r="D202" s="468"/>
      <c r="E202" s="468"/>
      <c r="F202" s="468"/>
      <c r="G202" s="468"/>
      <c r="H202" s="468"/>
      <c r="I202" s="468"/>
      <c r="J202" s="468"/>
      <c r="K202" s="468"/>
      <c r="L202" s="468"/>
      <c r="M202" s="55"/>
      <c r="N202" s="17"/>
    </row>
    <row r="203" spans="1:14" x14ac:dyDescent="0.2">
      <c r="A203" s="17"/>
      <c r="B203" s="3"/>
      <c r="C203" s="4"/>
      <c r="D203" s="3"/>
      <c r="E203" s="3"/>
      <c r="F203" s="3"/>
      <c r="G203" s="3"/>
      <c r="H203" s="3"/>
      <c r="I203" s="3"/>
      <c r="J203" s="3"/>
      <c r="K203" s="3"/>
      <c r="L203" s="3"/>
      <c r="M203" s="3"/>
      <c r="N203" s="17"/>
    </row>
    <row r="204" spans="1:14" x14ac:dyDescent="0.2">
      <c r="A204" s="17"/>
      <c r="B204" s="3"/>
      <c r="C204" s="579" t="s">
        <v>272</v>
      </c>
      <c r="D204" s="580" t="s">
        <v>50</v>
      </c>
      <c r="E204" s="585"/>
      <c r="F204" s="585"/>
      <c r="G204" s="585"/>
      <c r="H204" s="585"/>
      <c r="I204" s="552"/>
      <c r="J204" s="552" t="s">
        <v>105</v>
      </c>
      <c r="K204" s="553"/>
      <c r="L204" s="3"/>
      <c r="M204" s="3"/>
      <c r="N204" s="17"/>
    </row>
    <row r="205" spans="1:14" x14ac:dyDescent="0.2">
      <c r="A205" s="17"/>
      <c r="B205" s="3"/>
      <c r="C205" s="578"/>
      <c r="D205" s="368" t="s">
        <v>384</v>
      </c>
      <c r="E205" s="383" t="s">
        <v>52</v>
      </c>
      <c r="F205" s="379" t="s">
        <v>313</v>
      </c>
      <c r="G205" s="383" t="s">
        <v>46</v>
      </c>
      <c r="H205" s="383" t="s">
        <v>47</v>
      </c>
      <c r="I205" s="382" t="s">
        <v>92</v>
      </c>
      <c r="J205" s="171" t="s">
        <v>54</v>
      </c>
      <c r="K205" s="367" t="s">
        <v>55</v>
      </c>
      <c r="L205" s="3"/>
      <c r="M205" s="3"/>
      <c r="N205" s="17"/>
    </row>
    <row r="206" spans="1:14" x14ac:dyDescent="0.2">
      <c r="A206" s="17"/>
      <c r="B206" s="3"/>
      <c r="C206" s="12" t="s">
        <v>302</v>
      </c>
      <c r="D206" s="378">
        <v>1</v>
      </c>
      <c r="E206" s="384"/>
      <c r="F206" s="380"/>
      <c r="G206" s="384"/>
      <c r="H206" s="384"/>
      <c r="I206" s="381"/>
      <c r="J206" s="389">
        <f>($E$162*$D206)+($E206*$E$165)+($F206*$E$167)+($G206*$E$169)+($E$170*$H206)+($E$171*$I206)</f>
        <v>18</v>
      </c>
      <c r="K206" s="49">
        <f t="shared" ref="K206:K211" si="7">($E$163*$D206)+($E206*$E$166)+($F206*$E$168)+($G206*$E$169)+($E$170*$H206)+($E$171*$I206)</f>
        <v>136</v>
      </c>
      <c r="L206" s="3"/>
      <c r="M206" s="3"/>
      <c r="N206" s="17"/>
    </row>
    <row r="207" spans="1:14" x14ac:dyDescent="0.2">
      <c r="A207" s="17"/>
      <c r="B207" s="3"/>
      <c r="C207" s="12" t="s">
        <v>314</v>
      </c>
      <c r="D207" s="378">
        <v>0.4</v>
      </c>
      <c r="E207" s="384">
        <v>0.6</v>
      </c>
      <c r="F207" s="380"/>
      <c r="G207" s="384"/>
      <c r="H207" s="384"/>
      <c r="I207" s="381"/>
      <c r="J207" s="389">
        <f>($E$162*$D207)+($E207*$E$165)+($F207*$E$167)+($G207*$E$169)+($E$170*$H207)+($E$171*$I207)</f>
        <v>12.154128440366971</v>
      </c>
      <c r="K207" s="49">
        <f t="shared" si="7"/>
        <v>91.831192660550457</v>
      </c>
      <c r="L207" s="3"/>
      <c r="M207" s="3"/>
      <c r="N207" s="17"/>
    </row>
    <row r="208" spans="1:14" x14ac:dyDescent="0.2">
      <c r="A208" s="17"/>
      <c r="B208" s="3"/>
      <c r="C208" s="12" t="s">
        <v>315</v>
      </c>
      <c r="D208" s="378">
        <v>0.15</v>
      </c>
      <c r="E208" s="384"/>
      <c r="F208" s="380">
        <v>0.85</v>
      </c>
      <c r="G208" s="384"/>
      <c r="H208" s="384"/>
      <c r="I208" s="381"/>
      <c r="J208" s="389">
        <f t="shared" ref="J208:J211" si="8">($E$162*$D208)+($E208*$E$165)+($F208*$E$167)+($G208*$E$169)+($E$170*$H208)+($E$171*$I208)</f>
        <v>8.9448979591836721</v>
      </c>
      <c r="K208" s="49">
        <f t="shared" si="7"/>
        <v>67.583673469387747</v>
      </c>
      <c r="L208" s="3"/>
      <c r="M208" s="3"/>
      <c r="N208" s="17"/>
    </row>
    <row r="209" spans="1:19" x14ac:dyDescent="0.2">
      <c r="A209" s="17"/>
      <c r="B209" s="3"/>
      <c r="C209" s="12" t="s">
        <v>316</v>
      </c>
      <c r="D209" s="378">
        <v>0.6</v>
      </c>
      <c r="E209" s="384"/>
      <c r="F209" s="380"/>
      <c r="G209" s="384"/>
      <c r="H209" s="384">
        <v>0.4</v>
      </c>
      <c r="I209" s="381"/>
      <c r="J209" s="389">
        <f t="shared" si="8"/>
        <v>19.600000000000001</v>
      </c>
      <c r="K209" s="49">
        <f t="shared" si="7"/>
        <v>90.399999999999991</v>
      </c>
      <c r="L209" s="3"/>
      <c r="M209" s="3"/>
      <c r="N209" s="17"/>
    </row>
    <row r="210" spans="1:19" x14ac:dyDescent="0.2">
      <c r="A210" s="17"/>
      <c r="B210" s="3"/>
      <c r="C210" s="12" t="s">
        <v>317</v>
      </c>
      <c r="D210" s="378">
        <v>0.7</v>
      </c>
      <c r="E210" s="384"/>
      <c r="F210" s="380"/>
      <c r="G210" s="384"/>
      <c r="H210" s="384"/>
      <c r="I210" s="381">
        <v>0.3</v>
      </c>
      <c r="J210" s="389">
        <f t="shared" si="8"/>
        <v>36.6</v>
      </c>
      <c r="K210" s="49">
        <f t="shared" si="7"/>
        <v>119.19999999999999</v>
      </c>
      <c r="L210" s="3"/>
      <c r="M210" s="3"/>
      <c r="N210" s="17"/>
    </row>
    <row r="211" spans="1:19" x14ac:dyDescent="0.2">
      <c r="A211" s="17"/>
      <c r="B211" s="3"/>
      <c r="C211" s="12" t="s">
        <v>46</v>
      </c>
      <c r="D211" s="378"/>
      <c r="E211" s="384"/>
      <c r="F211" s="380"/>
      <c r="G211" s="384">
        <v>1</v>
      </c>
      <c r="H211" s="384"/>
      <c r="I211" s="381"/>
      <c r="J211" s="389">
        <f t="shared" si="8"/>
        <v>89.2</v>
      </c>
      <c r="K211" s="49">
        <f t="shared" si="7"/>
        <v>89.2</v>
      </c>
      <c r="L211" s="3"/>
      <c r="M211" s="3"/>
      <c r="N211" s="17"/>
      <c r="O211" s="2"/>
    </row>
    <row r="212" spans="1:19" x14ac:dyDescent="0.2">
      <c r="A212" s="17"/>
      <c r="B212" s="3"/>
      <c r="C212" s="16"/>
      <c r="D212" s="37"/>
      <c r="E212" s="37"/>
      <c r="F212" s="24"/>
      <c r="G212" s="119"/>
      <c r="H212" s="3"/>
      <c r="I212" s="3"/>
      <c r="J212" s="3"/>
      <c r="K212" s="3"/>
      <c r="L212" s="3"/>
      <c r="M212" s="3"/>
      <c r="N212" s="17"/>
    </row>
    <row r="213" spans="1:19" ht="24" customHeight="1" x14ac:dyDescent="0.2">
      <c r="A213" s="17"/>
      <c r="B213" s="3"/>
      <c r="C213" s="3"/>
      <c r="D213" s="3"/>
      <c r="E213" s="3"/>
      <c r="F213" s="3"/>
      <c r="G213" s="3"/>
      <c r="H213" s="376" t="s">
        <v>414</v>
      </c>
      <c r="I213" s="377" t="str">
        <f>Utbyggingsinformasjon!M94</f>
        <v>Strøm (panelovn/elkjel)</v>
      </c>
      <c r="J213" s="336">
        <f>VLOOKUP(I213,C206:K211,8,FALSE)</f>
        <v>18</v>
      </c>
      <c r="K213" s="336">
        <f>VLOOKUP(I213,C206:K211,9,FALSE)</f>
        <v>136</v>
      </c>
      <c r="L213" s="3"/>
      <c r="M213" s="3"/>
      <c r="N213" s="17"/>
    </row>
    <row r="214" spans="1:19" x14ac:dyDescent="0.2">
      <c r="A214" s="17"/>
      <c r="B214" s="3"/>
      <c r="C214" s="3"/>
      <c r="D214" s="3"/>
      <c r="E214" s="3"/>
      <c r="F214" s="3"/>
      <c r="G214" s="3"/>
      <c r="H214" s="3"/>
      <c r="I214" s="16"/>
      <c r="J214" s="26"/>
      <c r="K214" s="3"/>
      <c r="L214" s="3"/>
      <c r="M214" s="3"/>
      <c r="N214" s="17"/>
    </row>
    <row r="215" spans="1:19" x14ac:dyDescent="0.2">
      <c r="A215" s="17"/>
      <c r="B215" s="17"/>
      <c r="C215" s="17"/>
      <c r="D215" s="17"/>
      <c r="E215" s="17"/>
      <c r="F215" s="17"/>
      <c r="G215" s="17"/>
      <c r="H215" s="17"/>
      <c r="I215" s="17"/>
      <c r="J215" s="17"/>
      <c r="K215" s="17"/>
      <c r="L215" s="17"/>
      <c r="M215" s="17"/>
      <c r="N215" s="17"/>
    </row>
    <row r="216" spans="1:19" x14ac:dyDescent="0.2">
      <c r="A216" s="17"/>
      <c r="B216" s="3"/>
      <c r="C216" s="3"/>
      <c r="D216" s="3"/>
      <c r="E216" s="3"/>
      <c r="F216" s="3"/>
      <c r="G216" s="3"/>
      <c r="H216" s="3"/>
      <c r="I216" s="3"/>
      <c r="J216" s="3"/>
      <c r="K216" s="3"/>
      <c r="L216" s="3"/>
      <c r="M216" s="3"/>
      <c r="N216" s="17"/>
    </row>
    <row r="217" spans="1:19" x14ac:dyDescent="0.2">
      <c r="A217" s="17"/>
      <c r="B217" s="3"/>
      <c r="C217" s="4" t="s">
        <v>417</v>
      </c>
      <c r="D217" s="3"/>
      <c r="E217" s="3"/>
      <c r="F217" s="3"/>
      <c r="G217" s="3"/>
      <c r="H217" s="3"/>
      <c r="I217" s="3"/>
      <c r="J217" s="3"/>
      <c r="K217" s="3"/>
      <c r="L217" s="3"/>
      <c r="M217" s="3"/>
      <c r="N217" s="17"/>
    </row>
    <row r="218" spans="1:19" ht="37.5" customHeight="1" x14ac:dyDescent="0.2">
      <c r="A218" s="17"/>
      <c r="B218" s="3"/>
      <c r="C218" s="468" t="s">
        <v>416</v>
      </c>
      <c r="D218" s="468"/>
      <c r="E218" s="468"/>
      <c r="F218" s="468"/>
      <c r="G218" s="468"/>
      <c r="H218" s="468"/>
      <c r="I218" s="468"/>
      <c r="J218" s="468"/>
      <c r="K218" s="468"/>
      <c r="L218" s="3"/>
      <c r="M218" s="3"/>
      <c r="N218" s="17"/>
    </row>
    <row r="219" spans="1:19" x14ac:dyDescent="0.2">
      <c r="A219" s="17"/>
      <c r="B219" s="3"/>
      <c r="C219" s="560"/>
      <c r="D219" s="560"/>
      <c r="E219" s="560"/>
      <c r="F219" s="560"/>
      <c r="G219" s="560"/>
      <c r="H219" s="560"/>
      <c r="I219" s="3"/>
      <c r="J219" s="3"/>
      <c r="K219" s="3"/>
      <c r="L219" s="3"/>
      <c r="M219" s="3"/>
      <c r="N219" s="17"/>
    </row>
    <row r="220" spans="1:19" ht="15" customHeight="1" x14ac:dyDescent="0.2">
      <c r="A220" s="17"/>
      <c r="B220" s="3"/>
      <c r="C220" s="520" t="s">
        <v>77</v>
      </c>
      <c r="D220" s="580" t="s">
        <v>355</v>
      </c>
      <c r="E220" s="585"/>
      <c r="F220" s="585"/>
      <c r="G220" s="552"/>
      <c r="H220" s="586" t="s">
        <v>154</v>
      </c>
      <c r="I220" s="587"/>
      <c r="J220" s="587"/>
      <c r="K220" s="588"/>
      <c r="L220" s="3"/>
      <c r="M220" s="3"/>
      <c r="N220" s="17"/>
    </row>
    <row r="221" spans="1:19" x14ac:dyDescent="0.2">
      <c r="A221" s="17"/>
      <c r="B221" s="3"/>
      <c r="C221" s="521"/>
      <c r="D221" s="581" t="s">
        <v>50</v>
      </c>
      <c r="E221" s="581"/>
      <c r="F221" s="553" t="s">
        <v>53</v>
      </c>
      <c r="G221" s="553"/>
      <c r="H221" s="581" t="s">
        <v>50</v>
      </c>
      <c r="I221" s="581"/>
      <c r="J221" s="553" t="s">
        <v>53</v>
      </c>
      <c r="K221" s="553"/>
      <c r="L221" s="33"/>
      <c r="M221" s="33"/>
      <c r="N221" s="17"/>
    </row>
    <row r="222" spans="1:19" x14ac:dyDescent="0.2">
      <c r="A222" s="17"/>
      <c r="B222" s="3"/>
      <c r="C222" s="522"/>
      <c r="D222" s="386" t="s">
        <v>78</v>
      </c>
      <c r="E222" s="385" t="s">
        <v>79</v>
      </c>
      <c r="F222" s="171" t="s">
        <v>54</v>
      </c>
      <c r="G222" s="366" t="s">
        <v>55</v>
      </c>
      <c r="H222" s="386" t="s">
        <v>78</v>
      </c>
      <c r="I222" s="385" t="s">
        <v>79</v>
      </c>
      <c r="J222" s="171" t="s">
        <v>54</v>
      </c>
      <c r="K222" s="366" t="s">
        <v>55</v>
      </c>
      <c r="L222" s="15"/>
      <c r="M222" s="15"/>
      <c r="N222" s="17"/>
      <c r="R222" s="215"/>
      <c r="S222" s="435"/>
    </row>
    <row r="223" spans="1:19" x14ac:dyDescent="0.2">
      <c r="A223" s="21"/>
      <c r="B223" s="22"/>
      <c r="C223" s="51" t="s">
        <v>59</v>
      </c>
      <c r="D223" s="387">
        <v>0.3</v>
      </c>
      <c r="E223" s="381">
        <v>0.7</v>
      </c>
      <c r="F223" s="389">
        <f>($D223*F$196)+($E223*J$213)</f>
        <v>18</v>
      </c>
      <c r="G223" s="388">
        <f>($D223*G$196)+($E223*K$213)</f>
        <v>136</v>
      </c>
      <c r="H223" s="387">
        <v>0.35</v>
      </c>
      <c r="I223" s="381">
        <v>0.65</v>
      </c>
      <c r="J223" s="389">
        <f>($H223*F$196)+($I223*J$213)</f>
        <v>18</v>
      </c>
      <c r="K223" s="49">
        <f t="shared" ref="J223:K225" si="9">($H223*G$196)+($I223*K$213)</f>
        <v>136</v>
      </c>
      <c r="L223" s="24"/>
      <c r="M223" s="24"/>
      <c r="N223" s="21"/>
      <c r="R223" s="215"/>
      <c r="S223" s="435"/>
    </row>
    <row r="224" spans="1:19" x14ac:dyDescent="0.2">
      <c r="A224" s="21"/>
      <c r="B224" s="22"/>
      <c r="C224" s="52" t="s">
        <v>40</v>
      </c>
      <c r="D224" s="387">
        <v>0.35</v>
      </c>
      <c r="E224" s="381">
        <v>0.65</v>
      </c>
      <c r="F224" s="389">
        <f>($D224*F$196)+($E224*J$213)</f>
        <v>18</v>
      </c>
      <c r="G224" s="388">
        <f t="shared" ref="G224:G225" si="10">($D224*G$196)+($E224*K$213)</f>
        <v>136</v>
      </c>
      <c r="H224" s="387">
        <v>0.4</v>
      </c>
      <c r="I224" s="381">
        <v>0.6</v>
      </c>
      <c r="J224" s="389">
        <f t="shared" si="9"/>
        <v>18</v>
      </c>
      <c r="K224" s="49">
        <f>($H224*G$196)+($I224*K$213)</f>
        <v>136</v>
      </c>
      <c r="L224" s="24"/>
      <c r="M224" s="24"/>
      <c r="N224" s="21"/>
      <c r="R224" s="215"/>
      <c r="S224" s="435"/>
    </row>
    <row r="225" spans="1:19" x14ac:dyDescent="0.2">
      <c r="A225" s="21"/>
      <c r="B225" s="22"/>
      <c r="C225" s="52" t="s">
        <v>41</v>
      </c>
      <c r="D225" s="387">
        <v>0.4</v>
      </c>
      <c r="E225" s="381">
        <v>0.6</v>
      </c>
      <c r="F225" s="389">
        <f>($D225*F$196)+($E225*J$213)</f>
        <v>18</v>
      </c>
      <c r="G225" s="388">
        <f t="shared" si="10"/>
        <v>136</v>
      </c>
      <c r="H225" s="387">
        <v>0.45</v>
      </c>
      <c r="I225" s="381">
        <v>0.55000000000000004</v>
      </c>
      <c r="J225" s="389">
        <f t="shared" si="9"/>
        <v>18</v>
      </c>
      <c r="K225" s="49">
        <f t="shared" si="9"/>
        <v>136</v>
      </c>
      <c r="L225" s="24"/>
      <c r="M225" s="24"/>
      <c r="N225" s="21"/>
    </row>
    <row r="226" spans="1:19" x14ac:dyDescent="0.2">
      <c r="A226" s="17"/>
      <c r="B226" s="3"/>
      <c r="C226" s="29"/>
      <c r="D226" s="30"/>
      <c r="E226" s="30"/>
      <c r="F226" s="30"/>
      <c r="G226" s="30"/>
      <c r="H226" s="30"/>
      <c r="I226" s="3"/>
      <c r="J226" s="3"/>
      <c r="K226" s="3"/>
      <c r="L226" s="3"/>
      <c r="M226" s="3"/>
      <c r="N226" s="17"/>
      <c r="R226" s="215"/>
      <c r="S226" s="435"/>
    </row>
    <row r="227" spans="1:19" x14ac:dyDescent="0.2">
      <c r="A227" s="17"/>
      <c r="B227" s="3"/>
      <c r="C227" s="3"/>
      <c r="D227" s="3"/>
      <c r="E227" s="3"/>
      <c r="F227" s="3"/>
      <c r="G227" s="3"/>
      <c r="H227" s="3"/>
      <c r="I227" s="3"/>
      <c r="J227" s="3"/>
      <c r="K227" s="3"/>
      <c r="L227" s="3"/>
      <c r="M227" s="3"/>
      <c r="N227" s="17"/>
    </row>
    <row r="228" spans="1:19" x14ac:dyDescent="0.2">
      <c r="A228" s="17"/>
      <c r="B228" s="17"/>
      <c r="C228" s="17"/>
      <c r="D228" s="17"/>
      <c r="E228" s="17"/>
      <c r="F228" s="17"/>
      <c r="G228" s="17"/>
      <c r="H228" s="17"/>
      <c r="I228" s="17"/>
      <c r="J228" s="17"/>
      <c r="K228" s="17"/>
      <c r="L228" s="17"/>
      <c r="M228" s="17"/>
      <c r="N228" s="17"/>
      <c r="R228" s="434"/>
    </row>
    <row r="229" spans="1:19" x14ac:dyDescent="0.2">
      <c r="A229" s="17"/>
      <c r="B229" s="3"/>
      <c r="C229" s="3"/>
      <c r="D229" s="3"/>
      <c r="E229" s="3"/>
      <c r="F229" s="3"/>
      <c r="G229" s="3"/>
      <c r="H229" s="3"/>
      <c r="I229" s="3"/>
      <c r="J229" s="3"/>
      <c r="K229" s="3"/>
      <c r="L229" s="3"/>
      <c r="M229" s="3"/>
      <c r="N229" s="17"/>
      <c r="R229" s="434"/>
    </row>
    <row r="230" spans="1:19" x14ac:dyDescent="0.2">
      <c r="A230" s="17"/>
      <c r="B230" s="3"/>
      <c r="C230" s="4" t="s">
        <v>86</v>
      </c>
      <c r="D230" s="3"/>
      <c r="E230" s="3"/>
      <c r="F230" s="3"/>
      <c r="G230" s="3"/>
      <c r="H230" s="3"/>
      <c r="I230" s="3"/>
      <c r="J230" s="3"/>
      <c r="K230" s="3"/>
      <c r="L230" s="3"/>
      <c r="M230" s="3"/>
      <c r="N230" s="17"/>
    </row>
    <row r="231" spans="1:19" ht="30" customHeight="1" x14ac:dyDescent="0.2">
      <c r="A231" s="17"/>
      <c r="B231" s="3"/>
      <c r="C231" s="468" t="s">
        <v>123</v>
      </c>
      <c r="D231" s="468"/>
      <c r="E231" s="468"/>
      <c r="F231" s="468"/>
      <c r="G231" s="468"/>
      <c r="H231" s="468"/>
      <c r="I231" s="468"/>
      <c r="J231" s="468"/>
      <c r="K231" s="468"/>
      <c r="L231" s="3"/>
      <c r="M231" s="3"/>
      <c r="N231" s="17"/>
      <c r="O231" s="2"/>
    </row>
    <row r="232" spans="1:19" x14ac:dyDescent="0.2">
      <c r="A232" s="17"/>
      <c r="B232" s="3"/>
      <c r="C232" s="4"/>
      <c r="D232" s="3"/>
      <c r="E232" s="3"/>
      <c r="F232" s="3"/>
      <c r="G232" s="3"/>
      <c r="H232" s="3"/>
      <c r="I232" s="3"/>
      <c r="J232" s="3"/>
      <c r="K232" s="3"/>
      <c r="L232" s="3"/>
      <c r="M232" s="3"/>
      <c r="N232" s="17"/>
      <c r="R232" s="215"/>
      <c r="S232" s="435"/>
    </row>
    <row r="233" spans="1:19" x14ac:dyDescent="0.2">
      <c r="A233" s="17"/>
      <c r="B233" s="3"/>
      <c r="C233" s="518" t="s">
        <v>1</v>
      </c>
      <c r="D233" s="541" t="s">
        <v>83</v>
      </c>
      <c r="E233" s="595" t="s">
        <v>58</v>
      </c>
      <c r="F233" s="541" t="s">
        <v>84</v>
      </c>
      <c r="G233" s="541" t="s">
        <v>85</v>
      </c>
      <c r="H233" s="581" t="s">
        <v>54</v>
      </c>
      <c r="I233" s="581"/>
      <c r="J233" s="581" t="s">
        <v>55</v>
      </c>
      <c r="K233" s="581"/>
      <c r="L233" s="3"/>
      <c r="M233" s="3"/>
      <c r="N233" s="78"/>
      <c r="O233" s="2"/>
      <c r="R233" s="215"/>
      <c r="S233" s="435"/>
    </row>
    <row r="234" spans="1:19" ht="25.5" x14ac:dyDescent="0.2">
      <c r="A234" s="17"/>
      <c r="B234" s="3"/>
      <c r="C234" s="519"/>
      <c r="D234" s="584"/>
      <c r="E234" s="584"/>
      <c r="F234" s="584"/>
      <c r="G234" s="545"/>
      <c r="H234" s="50" t="s">
        <v>108</v>
      </c>
      <c r="I234" s="50" t="s">
        <v>109</v>
      </c>
      <c r="J234" s="50" t="s">
        <v>108</v>
      </c>
      <c r="K234" s="50" t="s">
        <v>109</v>
      </c>
      <c r="L234" s="3"/>
      <c r="M234" s="3"/>
      <c r="N234" s="17"/>
      <c r="R234" s="215"/>
      <c r="S234" s="435"/>
    </row>
    <row r="235" spans="1:19" x14ac:dyDescent="0.2">
      <c r="A235" s="17"/>
      <c r="B235" s="3"/>
      <c r="C235" s="8" t="s">
        <v>56</v>
      </c>
      <c r="D235" s="91">
        <f>SUM(Utbyggingsinformasjon!$G$36:$G$41)</f>
        <v>0</v>
      </c>
      <c r="E235" s="596" t="str">
        <f>Utbyggingsinformasjon!M87</f>
        <v>TEK17 (default)</v>
      </c>
      <c r="F235" s="98">
        <f>VLOOKUP(E235,C150:E152,2,FALSE)</f>
        <v>110</v>
      </c>
      <c r="G235" s="118">
        <f>D235*F235</f>
        <v>0</v>
      </c>
      <c r="H235" s="120">
        <f>VLOOKUP(E235,$C$223:$K$225,4,FALSE)</f>
        <v>18</v>
      </c>
      <c r="I235" s="120">
        <f>(G235*H235)/1000000</f>
        <v>0</v>
      </c>
      <c r="J235" s="120">
        <f>VLOOKUP(E235,$C$223:$K$225,5,FALSE)</f>
        <v>136</v>
      </c>
      <c r="K235" s="120">
        <f>(G235*J235)/1000000</f>
        <v>0</v>
      </c>
      <c r="L235" s="3"/>
      <c r="M235" s="3"/>
      <c r="N235" s="17"/>
    </row>
    <row r="236" spans="1:19" x14ac:dyDescent="0.2">
      <c r="A236" s="17"/>
      <c r="B236" s="3"/>
      <c r="C236" s="8" t="s">
        <v>57</v>
      </c>
      <c r="D236" s="91">
        <f>SUM(Utbyggingsinformasjon!$G$42:$G$43)</f>
        <v>0</v>
      </c>
      <c r="E236" s="597"/>
      <c r="F236" s="98">
        <f>VLOOKUP(E235,C150:E152,3,FALSE)</f>
        <v>95</v>
      </c>
      <c r="G236" s="118">
        <f>D236*F236</f>
        <v>0</v>
      </c>
      <c r="H236" s="120">
        <f>VLOOKUP(E235,$C$223:$K$225,8,FALSE)</f>
        <v>18</v>
      </c>
      <c r="I236" s="120">
        <f>(G236*H236)/1000000</f>
        <v>0</v>
      </c>
      <c r="J236" s="120">
        <f>VLOOKUP(E235,$C$223:$K$225,9,FALSE)</f>
        <v>136</v>
      </c>
      <c r="K236" s="120">
        <f>(G236*J236)/1000000</f>
        <v>0</v>
      </c>
      <c r="L236" s="3"/>
      <c r="M236" s="3"/>
      <c r="N236" s="17"/>
      <c r="R236" s="215"/>
      <c r="S236" s="435"/>
    </row>
    <row r="237" spans="1:19" x14ac:dyDescent="0.2">
      <c r="A237" s="17"/>
      <c r="B237" s="3"/>
      <c r="C237" s="3"/>
      <c r="D237" s="99"/>
      <c r="E237" s="99"/>
      <c r="F237" s="99"/>
      <c r="G237" s="99"/>
      <c r="H237" s="279" t="s">
        <v>120</v>
      </c>
      <c r="I237" s="436">
        <f>SUM(I235:I236)</f>
        <v>0</v>
      </c>
      <c r="J237" s="279" t="s">
        <v>120</v>
      </c>
      <c r="K237" s="436">
        <f>SUM(K235:K236)</f>
        <v>0</v>
      </c>
      <c r="L237" s="3"/>
      <c r="M237" s="3"/>
      <c r="N237" s="17"/>
    </row>
    <row r="238" spans="1:19" x14ac:dyDescent="0.2">
      <c r="A238" s="17"/>
      <c r="B238" s="3"/>
      <c r="C238" s="3"/>
      <c r="D238" s="99"/>
      <c r="E238" s="99"/>
      <c r="F238" s="99"/>
      <c r="G238" s="99"/>
      <c r="H238" s="279" t="s">
        <v>242</v>
      </c>
      <c r="I238" s="436">
        <f>I237*60</f>
        <v>0</v>
      </c>
      <c r="J238" s="279" t="s">
        <v>242</v>
      </c>
      <c r="K238" s="436">
        <f>K237*60</f>
        <v>0</v>
      </c>
      <c r="L238" s="3"/>
      <c r="M238" s="3"/>
      <c r="N238" s="17"/>
      <c r="R238" s="434"/>
    </row>
    <row r="239" spans="1:19" x14ac:dyDescent="0.2">
      <c r="A239" s="17"/>
      <c r="B239" s="3"/>
      <c r="C239" s="3"/>
      <c r="D239" s="3"/>
      <c r="E239" s="3"/>
      <c r="F239" s="3"/>
      <c r="G239" s="3"/>
      <c r="H239" s="3"/>
      <c r="I239" s="3"/>
      <c r="J239" s="3"/>
      <c r="K239" s="3"/>
      <c r="L239" s="3"/>
      <c r="M239" s="3"/>
      <c r="N239" s="17"/>
      <c r="R239" s="434"/>
    </row>
    <row r="240" spans="1:19" ht="13.5" thickBot="1" x14ac:dyDescent="0.25">
      <c r="A240" s="60"/>
      <c r="B240" s="61"/>
      <c r="C240" s="61"/>
      <c r="D240" s="61"/>
      <c r="E240" s="61"/>
      <c r="F240" s="61"/>
      <c r="G240" s="61"/>
      <c r="H240" s="62"/>
      <c r="I240" s="62"/>
      <c r="J240" s="61"/>
      <c r="K240" s="63"/>
      <c r="L240" s="61"/>
      <c r="M240" s="61"/>
      <c r="N240" s="60"/>
    </row>
    <row r="241" spans="1:15" ht="27.75" customHeight="1" thickBot="1" x14ac:dyDescent="0.25">
      <c r="A241" s="561" t="s">
        <v>156</v>
      </c>
      <c r="B241" s="561"/>
      <c r="C241" s="561"/>
      <c r="D241" s="561"/>
      <c r="E241" s="561"/>
      <c r="F241" s="561"/>
      <c r="G241" s="561"/>
      <c r="H241" s="561"/>
      <c r="I241" s="561"/>
      <c r="J241" s="561"/>
      <c r="K241" s="561"/>
      <c r="L241" s="561"/>
      <c r="M241" s="561"/>
      <c r="N241" s="561"/>
    </row>
    <row r="242" spans="1:15" x14ac:dyDescent="0.2">
      <c r="A242" s="17"/>
      <c r="B242" s="3"/>
      <c r="C242" s="13"/>
      <c r="D242" s="3"/>
      <c r="E242" s="3"/>
      <c r="F242" s="3"/>
      <c r="G242" s="3"/>
      <c r="H242" s="3"/>
      <c r="I242" s="3"/>
      <c r="J242" s="3"/>
      <c r="K242" s="3"/>
      <c r="L242" s="3"/>
      <c r="M242" s="3"/>
      <c r="N242" s="17"/>
    </row>
    <row r="243" spans="1:15" ht="63" customHeight="1" x14ac:dyDescent="0.2">
      <c r="A243" s="17"/>
      <c r="B243" s="3"/>
      <c r="C243" s="562" t="s">
        <v>389</v>
      </c>
      <c r="D243" s="562"/>
      <c r="E243" s="562"/>
      <c r="F243" s="562"/>
      <c r="G243" s="562"/>
      <c r="H243" s="562"/>
      <c r="I243" s="562"/>
      <c r="J243" s="562"/>
      <c r="K243" s="562"/>
      <c r="L243" s="562"/>
      <c r="M243" s="96"/>
      <c r="N243" s="32"/>
      <c r="O243" s="2"/>
    </row>
    <row r="244" spans="1:15" x14ac:dyDescent="0.2">
      <c r="A244" s="17"/>
      <c r="B244" s="17"/>
      <c r="C244" s="17"/>
      <c r="D244" s="17"/>
      <c r="E244" s="17"/>
      <c r="F244" s="17"/>
      <c r="G244" s="17"/>
      <c r="H244" s="17"/>
      <c r="I244" s="17"/>
      <c r="J244" s="17"/>
      <c r="K244" s="17"/>
      <c r="L244" s="17"/>
      <c r="M244" s="17"/>
      <c r="N244" s="17"/>
    </row>
    <row r="245" spans="1:15" x14ac:dyDescent="0.2">
      <c r="A245" s="17"/>
      <c r="B245" s="3"/>
      <c r="C245" s="3"/>
      <c r="D245" s="3"/>
      <c r="E245" s="3"/>
      <c r="F245" s="3"/>
      <c r="G245" s="3"/>
      <c r="H245" s="3"/>
      <c r="I245" s="3"/>
      <c r="J245" s="3"/>
      <c r="K245" s="3"/>
      <c r="L245" s="3"/>
      <c r="M245" s="3"/>
      <c r="N245" s="17"/>
    </row>
    <row r="246" spans="1:15" x14ac:dyDescent="0.2">
      <c r="A246" s="17"/>
      <c r="B246" s="3"/>
      <c r="C246" s="4" t="s">
        <v>157</v>
      </c>
      <c r="D246" s="3"/>
      <c r="E246" s="3"/>
      <c r="F246" s="3"/>
      <c r="G246" s="3"/>
      <c r="H246" s="3"/>
      <c r="I246" s="3"/>
      <c r="J246" s="3"/>
      <c r="K246" s="3"/>
      <c r="L246" s="3"/>
      <c r="M246" s="3"/>
      <c r="N246" s="17"/>
    </row>
    <row r="247" spans="1:15" ht="41.25" customHeight="1" x14ac:dyDescent="0.2">
      <c r="A247" s="17"/>
      <c r="B247" s="3"/>
      <c r="C247" s="468" t="s">
        <v>370</v>
      </c>
      <c r="D247" s="468"/>
      <c r="E247" s="468"/>
      <c r="F247" s="468"/>
      <c r="G247" s="468"/>
      <c r="H247" s="468"/>
      <c r="I247" s="468"/>
      <c r="J247" s="468"/>
      <c r="K247" s="468"/>
      <c r="L247" s="468"/>
      <c r="M247" s="3"/>
      <c r="N247" s="17"/>
    </row>
    <row r="248" spans="1:15" x14ac:dyDescent="0.2">
      <c r="A248" s="17"/>
      <c r="B248" s="3"/>
      <c r="C248" s="4"/>
      <c r="D248" s="3"/>
      <c r="E248" s="3"/>
      <c r="F248" s="3"/>
      <c r="G248" s="3"/>
      <c r="H248" s="3"/>
      <c r="I248" s="3"/>
      <c r="J248" s="3"/>
      <c r="K248" s="3"/>
      <c r="L248" s="3"/>
      <c r="M248" s="3"/>
      <c r="N248" s="17"/>
    </row>
    <row r="249" spans="1:15" ht="25.5" x14ac:dyDescent="0.2">
      <c r="A249" s="17"/>
      <c r="B249" s="3"/>
      <c r="C249" s="123" t="s">
        <v>111</v>
      </c>
      <c r="D249" s="50" t="s">
        <v>118</v>
      </c>
      <c r="E249" s="3"/>
      <c r="F249" s="3"/>
      <c r="G249" s="3"/>
      <c r="H249" s="3"/>
      <c r="I249" s="3"/>
      <c r="J249" s="3"/>
      <c r="K249" s="3"/>
      <c r="L249" s="3"/>
      <c r="M249" s="3"/>
      <c r="N249" s="17"/>
    </row>
    <row r="250" spans="1:15" x14ac:dyDescent="0.2">
      <c r="A250" s="17"/>
      <c r="B250" s="3"/>
      <c r="C250" s="8" t="s">
        <v>112</v>
      </c>
      <c r="D250" s="80">
        <v>0</v>
      </c>
      <c r="E250" s="3"/>
      <c r="F250" s="3"/>
      <c r="G250" s="3"/>
      <c r="H250" s="3"/>
      <c r="I250" s="3"/>
      <c r="J250" s="3"/>
      <c r="K250" s="3"/>
      <c r="L250" s="3"/>
      <c r="M250" s="3"/>
      <c r="N250" s="17"/>
    </row>
    <row r="251" spans="1:15" x14ac:dyDescent="0.2">
      <c r="A251" s="17"/>
      <c r="B251" s="3"/>
      <c r="C251" s="8" t="s">
        <v>113</v>
      </c>
      <c r="D251" s="80">
        <v>60</v>
      </c>
      <c r="E251" s="3"/>
      <c r="F251" s="3"/>
      <c r="G251" s="3"/>
      <c r="H251" s="3"/>
      <c r="I251" s="3"/>
      <c r="J251" s="3"/>
      <c r="K251" s="3"/>
      <c r="L251" s="3"/>
      <c r="M251" s="3"/>
      <c r="N251" s="17"/>
    </row>
    <row r="252" spans="1:15" x14ac:dyDescent="0.2">
      <c r="A252" s="17"/>
      <c r="B252" s="3"/>
      <c r="C252" s="8" t="s">
        <v>114</v>
      </c>
      <c r="D252" s="80">
        <v>68.3</v>
      </c>
      <c r="E252" s="3"/>
      <c r="F252" s="3"/>
      <c r="G252" s="3"/>
      <c r="H252" s="3"/>
      <c r="I252" s="3"/>
      <c r="J252" s="3"/>
      <c r="K252" s="3"/>
      <c r="L252" s="3"/>
      <c r="M252" s="3"/>
      <c r="N252" s="17"/>
    </row>
    <row r="253" spans="1:15" x14ac:dyDescent="0.2">
      <c r="A253" s="17"/>
      <c r="B253" s="3"/>
      <c r="C253" s="8" t="s">
        <v>115</v>
      </c>
      <c r="D253" s="80">
        <v>79.900000000000006</v>
      </c>
      <c r="E253" s="3"/>
      <c r="F253" s="3"/>
      <c r="G253" s="3"/>
      <c r="H253" s="3"/>
      <c r="I253" s="3"/>
      <c r="J253" s="3"/>
      <c r="K253" s="3"/>
      <c r="L253" s="3"/>
      <c r="M253" s="3"/>
      <c r="N253" s="17"/>
    </row>
    <row r="254" spans="1:15" x14ac:dyDescent="0.2">
      <c r="A254" s="17"/>
      <c r="B254" s="3"/>
      <c r="C254" s="8" t="s">
        <v>116</v>
      </c>
      <c r="D254" s="80">
        <v>55.1</v>
      </c>
      <c r="E254" s="3"/>
      <c r="F254" s="3"/>
      <c r="G254" s="3"/>
      <c r="H254" s="3"/>
      <c r="I254" s="3"/>
      <c r="J254" s="3"/>
      <c r="K254" s="3"/>
      <c r="L254" s="3"/>
      <c r="M254" s="3"/>
      <c r="N254" s="17"/>
    </row>
    <row r="255" spans="1:15" x14ac:dyDescent="0.2">
      <c r="A255" s="17"/>
      <c r="B255" s="3"/>
      <c r="C255" s="8" t="s">
        <v>117</v>
      </c>
      <c r="D255" s="80">
        <v>201.9</v>
      </c>
      <c r="E255" s="3"/>
      <c r="F255" s="3"/>
      <c r="G255" s="3"/>
      <c r="H255" s="3"/>
      <c r="I255" s="3"/>
      <c r="J255" s="3"/>
      <c r="K255" s="3"/>
      <c r="L255" s="3"/>
      <c r="M255" s="3"/>
      <c r="N255" s="17"/>
    </row>
    <row r="256" spans="1:15" x14ac:dyDescent="0.2">
      <c r="A256" s="17"/>
      <c r="B256" s="3"/>
      <c r="C256" s="4"/>
      <c r="D256" s="3"/>
      <c r="E256" s="3"/>
      <c r="F256" s="3"/>
      <c r="G256" s="3"/>
      <c r="H256" s="3"/>
      <c r="I256" s="3"/>
      <c r="J256" s="3"/>
      <c r="K256" s="3"/>
      <c r="L256" s="3"/>
      <c r="M256" s="3"/>
      <c r="N256" s="17"/>
    </row>
    <row r="257" spans="1:14" x14ac:dyDescent="0.2">
      <c r="A257" s="17"/>
      <c r="B257" s="3"/>
      <c r="C257" s="4"/>
      <c r="D257" s="3"/>
      <c r="E257" s="3"/>
      <c r="F257" s="3"/>
      <c r="G257" s="3"/>
      <c r="H257" s="3"/>
      <c r="I257" s="3"/>
      <c r="J257" s="3"/>
      <c r="K257" s="3"/>
      <c r="L257" s="3"/>
      <c r="M257" s="3"/>
      <c r="N257" s="17"/>
    </row>
    <row r="258" spans="1:14" x14ac:dyDescent="0.2">
      <c r="A258" s="17"/>
      <c r="B258" s="17"/>
      <c r="C258" s="17"/>
      <c r="D258" s="17"/>
      <c r="E258" s="17"/>
      <c r="F258" s="17"/>
      <c r="G258" s="17"/>
      <c r="H258" s="17"/>
      <c r="I258" s="17"/>
      <c r="J258" s="17"/>
      <c r="K258" s="17"/>
      <c r="L258" s="17"/>
      <c r="M258" s="17"/>
      <c r="N258" s="17"/>
    </row>
    <row r="259" spans="1:14" x14ac:dyDescent="0.2">
      <c r="A259" s="17"/>
      <c r="B259" s="3"/>
      <c r="C259" s="3"/>
      <c r="D259" s="3"/>
      <c r="E259" s="3"/>
      <c r="F259" s="3"/>
      <c r="G259" s="3"/>
      <c r="H259" s="3"/>
      <c r="I259" s="3"/>
      <c r="J259" s="3"/>
      <c r="K259" s="3"/>
      <c r="L259" s="3"/>
      <c r="M259" s="3"/>
      <c r="N259" s="17"/>
    </row>
    <row r="260" spans="1:14" x14ac:dyDescent="0.2">
      <c r="A260" s="17"/>
      <c r="B260" s="3"/>
      <c r="C260" s="4" t="s">
        <v>158</v>
      </c>
      <c r="D260" s="3"/>
      <c r="E260" s="3"/>
      <c r="F260" s="3"/>
      <c r="G260" s="3"/>
      <c r="H260" s="3"/>
      <c r="I260" s="3"/>
      <c r="J260" s="3"/>
      <c r="K260" s="3"/>
      <c r="L260" s="3"/>
      <c r="M260" s="3"/>
      <c r="N260" s="17"/>
    </row>
    <row r="261" spans="1:14" ht="27.75" customHeight="1" x14ac:dyDescent="0.2">
      <c r="A261" s="17"/>
      <c r="B261" s="3"/>
      <c r="C261" s="468" t="s">
        <v>360</v>
      </c>
      <c r="D261" s="468"/>
      <c r="E261" s="468"/>
      <c r="F261" s="468"/>
      <c r="G261" s="468"/>
      <c r="H261" s="468"/>
      <c r="I261" s="468"/>
      <c r="J261" s="468"/>
      <c r="K261" s="468"/>
      <c r="L261" s="468"/>
      <c r="M261" s="3"/>
      <c r="N261" s="17"/>
    </row>
    <row r="262" spans="1:14" x14ac:dyDescent="0.2">
      <c r="A262" s="17"/>
      <c r="B262" s="3"/>
      <c r="C262" s="3"/>
      <c r="D262" s="3"/>
      <c r="E262" s="3"/>
      <c r="F262" s="3"/>
      <c r="G262" s="3"/>
      <c r="H262" s="3"/>
      <c r="I262" s="3"/>
      <c r="J262" s="3"/>
      <c r="K262" s="3"/>
      <c r="L262" s="3"/>
      <c r="M262" s="3"/>
      <c r="N262" s="17"/>
    </row>
    <row r="263" spans="1:14" ht="25.5" x14ac:dyDescent="0.2">
      <c r="A263" s="17"/>
      <c r="B263" s="3"/>
      <c r="C263" s="123" t="s">
        <v>111</v>
      </c>
      <c r="D263" s="50" t="s">
        <v>152</v>
      </c>
      <c r="E263" s="50" t="s">
        <v>118</v>
      </c>
      <c r="F263" s="50" t="s">
        <v>119</v>
      </c>
      <c r="G263" s="3"/>
      <c r="H263" s="3"/>
      <c r="I263" s="3"/>
      <c r="J263" s="3"/>
      <c r="K263" s="3"/>
      <c r="L263" s="3"/>
      <c r="M263" s="3"/>
      <c r="N263" s="17"/>
    </row>
    <row r="264" spans="1:14" x14ac:dyDescent="0.2">
      <c r="A264" s="17"/>
      <c r="B264" s="3"/>
      <c r="C264" s="8" t="s">
        <v>112</v>
      </c>
      <c r="D264" s="98">
        <f>Utbyggingsinformasjon!E108</f>
        <v>0</v>
      </c>
      <c r="E264" s="98">
        <f>D250</f>
        <v>0</v>
      </c>
      <c r="F264" s="98">
        <f t="shared" ref="F264:F269" si="11">(D264*E264)/1000</f>
        <v>0</v>
      </c>
      <c r="G264" s="3"/>
      <c r="H264" s="3"/>
      <c r="I264" s="3"/>
      <c r="J264" s="3"/>
      <c r="K264" s="3"/>
      <c r="L264" s="3"/>
      <c r="M264" s="3"/>
      <c r="N264" s="17"/>
    </row>
    <row r="265" spans="1:14" x14ac:dyDescent="0.2">
      <c r="A265" s="17"/>
      <c r="B265" s="3"/>
      <c r="C265" s="8" t="s">
        <v>113</v>
      </c>
      <c r="D265" s="98">
        <f>Utbyggingsinformasjon!E109</f>
        <v>0</v>
      </c>
      <c r="E265" s="98">
        <f t="shared" ref="E265:E269" si="12">D251</f>
        <v>60</v>
      </c>
      <c r="F265" s="98">
        <f t="shared" si="11"/>
        <v>0</v>
      </c>
      <c r="G265" s="3"/>
      <c r="H265" s="3"/>
      <c r="I265" s="3"/>
      <c r="J265" s="3"/>
      <c r="K265" s="3"/>
      <c r="L265" s="3"/>
      <c r="M265" s="3"/>
      <c r="N265" s="17"/>
    </row>
    <row r="266" spans="1:14" x14ac:dyDescent="0.2">
      <c r="A266" s="17"/>
      <c r="B266" s="3"/>
      <c r="C266" s="8" t="s">
        <v>114</v>
      </c>
      <c r="D266" s="98">
        <f>Utbyggingsinformasjon!E110</f>
        <v>0</v>
      </c>
      <c r="E266" s="98">
        <f t="shared" si="12"/>
        <v>68.3</v>
      </c>
      <c r="F266" s="98">
        <f t="shared" si="11"/>
        <v>0</v>
      </c>
      <c r="G266" s="3"/>
      <c r="H266" s="3"/>
      <c r="I266" s="3"/>
      <c r="J266" s="3"/>
      <c r="K266" s="3"/>
      <c r="L266" s="3"/>
      <c r="M266" s="3"/>
      <c r="N266" s="17"/>
    </row>
    <row r="267" spans="1:14" x14ac:dyDescent="0.2">
      <c r="A267" s="17"/>
      <c r="B267" s="3"/>
      <c r="C267" s="8" t="s">
        <v>115</v>
      </c>
      <c r="D267" s="98">
        <f>Utbyggingsinformasjon!E111</f>
        <v>0</v>
      </c>
      <c r="E267" s="98">
        <f t="shared" si="12"/>
        <v>79.900000000000006</v>
      </c>
      <c r="F267" s="98">
        <f t="shared" si="11"/>
        <v>0</v>
      </c>
      <c r="G267" s="3"/>
      <c r="H267" s="3"/>
      <c r="I267" s="3"/>
      <c r="J267" s="3"/>
      <c r="K267" s="3"/>
      <c r="L267" s="3"/>
      <c r="M267" s="3"/>
      <c r="N267" s="17"/>
    </row>
    <row r="268" spans="1:14" x14ac:dyDescent="0.2">
      <c r="A268" s="17"/>
      <c r="B268" s="3"/>
      <c r="C268" s="8" t="s">
        <v>221</v>
      </c>
      <c r="D268" s="98">
        <f>Utbyggingsinformasjon!E112</f>
        <v>0</v>
      </c>
      <c r="E268" s="98">
        <f t="shared" si="12"/>
        <v>55.1</v>
      </c>
      <c r="F268" s="98">
        <f t="shared" si="11"/>
        <v>0</v>
      </c>
      <c r="G268" s="3"/>
      <c r="H268" s="3"/>
      <c r="I268" s="3"/>
      <c r="J268" s="3"/>
      <c r="K268" s="3"/>
      <c r="L268" s="3"/>
      <c r="M268" s="3"/>
      <c r="N268" s="17"/>
    </row>
    <row r="269" spans="1:14" x14ac:dyDescent="0.2">
      <c r="A269" s="17"/>
      <c r="B269" s="3"/>
      <c r="C269" s="8" t="s">
        <v>117</v>
      </c>
      <c r="D269" s="98">
        <f>Utbyggingsinformasjon!E113</f>
        <v>0</v>
      </c>
      <c r="E269" s="98">
        <f t="shared" si="12"/>
        <v>201.9</v>
      </c>
      <c r="F269" s="98">
        <f t="shared" si="11"/>
        <v>0</v>
      </c>
      <c r="G269" s="3"/>
      <c r="H269" s="3"/>
      <c r="I269" s="3"/>
      <c r="J269" s="3"/>
      <c r="K269" s="3"/>
      <c r="L269" s="3"/>
      <c r="M269" s="3"/>
      <c r="N269" s="17"/>
    </row>
    <row r="270" spans="1:14" x14ac:dyDescent="0.2">
      <c r="A270" s="17"/>
      <c r="B270" s="3"/>
      <c r="C270" s="4"/>
      <c r="D270" s="3"/>
      <c r="E270" s="196" t="s">
        <v>242</v>
      </c>
      <c r="F270" s="436">
        <f>SUM(F264:F269)</f>
        <v>0</v>
      </c>
      <c r="G270" s="3"/>
      <c r="H270" s="3"/>
      <c r="I270" s="3"/>
      <c r="J270" s="3"/>
      <c r="K270" s="3"/>
      <c r="L270" s="3"/>
      <c r="M270" s="3"/>
      <c r="N270" s="17"/>
    </row>
    <row r="271" spans="1:14" x14ac:dyDescent="0.2">
      <c r="A271" s="17"/>
      <c r="B271" s="3"/>
      <c r="C271" s="3"/>
      <c r="D271" s="3"/>
      <c r="E271" s="3"/>
      <c r="F271" s="3"/>
      <c r="G271" s="3"/>
      <c r="H271" s="3"/>
      <c r="I271" s="3"/>
      <c r="J271" s="3"/>
      <c r="K271" s="3"/>
      <c r="L271" s="3"/>
      <c r="M271" s="3"/>
      <c r="N271" s="17"/>
    </row>
    <row r="272" spans="1:14" x14ac:dyDescent="0.2">
      <c r="A272" s="17"/>
      <c r="B272" s="3"/>
      <c r="C272" s="3"/>
      <c r="D272" s="3"/>
      <c r="E272" s="3"/>
      <c r="F272" s="3"/>
      <c r="G272" s="3"/>
      <c r="H272" s="3"/>
      <c r="I272" s="3"/>
      <c r="J272" s="3"/>
      <c r="K272" s="3"/>
      <c r="L272" s="3"/>
      <c r="M272" s="3"/>
      <c r="N272" s="17"/>
    </row>
    <row r="273" spans="1:14" x14ac:dyDescent="0.2">
      <c r="A273" s="17"/>
      <c r="B273" s="17"/>
      <c r="C273" s="17"/>
      <c r="D273" s="17"/>
      <c r="E273" s="17"/>
      <c r="F273" s="17"/>
      <c r="G273" s="17"/>
      <c r="H273" s="17"/>
      <c r="I273" s="17"/>
      <c r="J273" s="17"/>
      <c r="K273" s="17"/>
      <c r="L273" s="17"/>
      <c r="M273" s="17"/>
      <c r="N273" s="17"/>
    </row>
    <row r="274" spans="1:14" x14ac:dyDescent="0.2">
      <c r="A274" s="17"/>
      <c r="B274" s="3"/>
      <c r="C274" s="3"/>
      <c r="D274" s="3"/>
      <c r="E274" s="3"/>
      <c r="F274" s="3"/>
      <c r="G274" s="3"/>
      <c r="H274" s="3"/>
      <c r="I274" s="3"/>
      <c r="J274" s="3"/>
      <c r="K274" s="3"/>
      <c r="L274" s="3"/>
      <c r="M274" s="3"/>
      <c r="N274" s="17"/>
    </row>
    <row r="275" spans="1:14" x14ac:dyDescent="0.2">
      <c r="A275" s="17"/>
      <c r="B275" s="3"/>
      <c r="C275" s="4" t="s">
        <v>268</v>
      </c>
      <c r="D275" s="3"/>
      <c r="E275" s="3"/>
      <c r="F275" s="3"/>
      <c r="G275" s="3"/>
      <c r="H275" s="3"/>
      <c r="I275" s="3"/>
      <c r="J275" s="3"/>
      <c r="K275" s="3"/>
      <c r="L275" s="3"/>
      <c r="M275" s="3"/>
      <c r="N275" s="17"/>
    </row>
    <row r="276" spans="1:14" ht="42.75" customHeight="1" x14ac:dyDescent="0.2">
      <c r="A276" s="17"/>
      <c r="B276" s="3"/>
      <c r="C276" s="477" t="s">
        <v>369</v>
      </c>
      <c r="D276" s="477"/>
      <c r="E276" s="477"/>
      <c r="F276" s="477"/>
      <c r="G276" s="477"/>
      <c r="H276" s="477"/>
      <c r="I276" s="477"/>
      <c r="J276" s="477"/>
      <c r="K276" s="477"/>
      <c r="L276" s="477"/>
      <c r="M276" s="3"/>
      <c r="N276" s="17"/>
    </row>
    <row r="277" spans="1:14" ht="25.5" x14ac:dyDescent="0.2">
      <c r="A277" s="17"/>
      <c r="B277" s="3"/>
      <c r="C277" s="352" t="s">
        <v>269</v>
      </c>
      <c r="D277" s="232" t="s">
        <v>403</v>
      </c>
      <c r="E277" s="232" t="s">
        <v>404</v>
      </c>
      <c r="F277" s="285"/>
      <c r="G277" s="221"/>
      <c r="H277" s="221"/>
      <c r="I277" s="221"/>
      <c r="J277" s="221"/>
      <c r="K277" s="221"/>
      <c r="L277" s="3"/>
      <c r="M277" s="3"/>
      <c r="N277" s="17"/>
    </row>
    <row r="278" spans="1:14" x14ac:dyDescent="0.2">
      <c r="A278" s="17"/>
      <c r="B278" s="3"/>
      <c r="C278" s="391">
        <f>Utbyggingsinformasjon!M105</f>
        <v>0</v>
      </c>
      <c r="D278" s="426">
        <f>F270</f>
        <v>0</v>
      </c>
      <c r="E278" s="426">
        <f>D278*(1-C278)</f>
        <v>0</v>
      </c>
      <c r="F278" s="285"/>
      <c r="G278" s="221"/>
      <c r="H278" s="221"/>
      <c r="I278" s="221"/>
      <c r="J278" s="221"/>
      <c r="K278" s="221"/>
      <c r="L278" s="3"/>
      <c r="M278" s="3"/>
      <c r="N278" s="17"/>
    </row>
    <row r="279" spans="1:14" x14ac:dyDescent="0.2">
      <c r="A279" s="17"/>
      <c r="B279" s="3"/>
      <c r="C279" s="3"/>
      <c r="D279" s="3"/>
      <c r="E279" s="3"/>
      <c r="F279" s="3"/>
      <c r="G279" s="3"/>
      <c r="H279" s="3"/>
      <c r="I279" s="3"/>
      <c r="J279" s="3"/>
      <c r="K279" s="3"/>
      <c r="L279" s="3"/>
      <c r="M279" s="3"/>
      <c r="N279" s="17"/>
    </row>
    <row r="280" spans="1:14" x14ac:dyDescent="0.2">
      <c r="A280" s="17"/>
      <c r="B280" s="3"/>
      <c r="C280" s="4" t="s">
        <v>90</v>
      </c>
      <c r="D280" s="3"/>
      <c r="E280" s="3"/>
      <c r="F280" s="3"/>
      <c r="G280" s="3"/>
      <c r="H280" s="3"/>
      <c r="I280" s="3"/>
      <c r="J280" s="3"/>
      <c r="K280" s="3"/>
      <c r="L280" s="3"/>
      <c r="M280" s="3"/>
      <c r="N280" s="17"/>
    </row>
    <row r="281" spans="1:14" x14ac:dyDescent="0.2">
      <c r="A281" s="17"/>
      <c r="B281" s="3"/>
      <c r="C281" s="526" t="s">
        <v>89</v>
      </c>
      <c r="D281" s="375">
        <v>0</v>
      </c>
      <c r="E281" s="3"/>
      <c r="F281" s="3"/>
      <c r="G281" s="3"/>
      <c r="H281" s="3"/>
      <c r="I281" s="3"/>
      <c r="J281" s="3"/>
      <c r="K281" s="3"/>
      <c r="L281" s="3"/>
      <c r="M281" s="3"/>
      <c r="N281" s="17"/>
    </row>
    <row r="282" spans="1:14" x14ac:dyDescent="0.2">
      <c r="A282" s="17"/>
      <c r="B282" s="3"/>
      <c r="C282" s="527"/>
      <c r="D282" s="392">
        <v>0.05</v>
      </c>
      <c r="E282" s="3"/>
      <c r="F282" s="3"/>
      <c r="G282" s="3"/>
      <c r="H282" s="3"/>
      <c r="I282" s="3"/>
      <c r="J282" s="3"/>
      <c r="K282" s="3"/>
      <c r="L282" s="3"/>
      <c r="M282" s="3"/>
      <c r="N282" s="17"/>
    </row>
    <row r="283" spans="1:14" x14ac:dyDescent="0.2">
      <c r="A283" s="17"/>
      <c r="B283" s="3"/>
      <c r="C283" s="527"/>
      <c r="D283" s="392">
        <v>0.1</v>
      </c>
      <c r="E283" s="3"/>
      <c r="F283" s="3"/>
      <c r="G283" s="3"/>
      <c r="H283" s="3"/>
      <c r="I283" s="3"/>
      <c r="J283" s="3"/>
      <c r="K283" s="3"/>
      <c r="L283" s="3"/>
      <c r="M283" s="3"/>
      <c r="N283" s="17"/>
    </row>
    <row r="284" spans="1:14" x14ac:dyDescent="0.2">
      <c r="A284" s="17"/>
      <c r="B284" s="3"/>
      <c r="C284" s="527"/>
      <c r="D284" s="393">
        <v>0.15</v>
      </c>
      <c r="E284" s="3"/>
      <c r="F284" s="3"/>
      <c r="G284" s="3"/>
      <c r="H284" s="3"/>
      <c r="I284" s="3"/>
      <c r="J284" s="3"/>
      <c r="K284" s="3"/>
      <c r="L284" s="3"/>
      <c r="M284" s="3"/>
      <c r="N284" s="17"/>
    </row>
    <row r="285" spans="1:14" x14ac:dyDescent="0.2">
      <c r="A285" s="17"/>
      <c r="B285" s="3"/>
      <c r="C285" s="527"/>
      <c r="D285" s="393">
        <v>0.2</v>
      </c>
      <c r="E285" s="3"/>
      <c r="F285" s="3"/>
      <c r="G285" s="3"/>
      <c r="H285" s="3"/>
      <c r="I285" s="3"/>
      <c r="J285" s="3"/>
      <c r="K285" s="3"/>
      <c r="L285" s="3"/>
      <c r="M285" s="3"/>
      <c r="N285" s="17"/>
    </row>
    <row r="286" spans="1:14" x14ac:dyDescent="0.2">
      <c r="A286" s="17"/>
      <c r="B286" s="3"/>
      <c r="C286" s="527"/>
      <c r="D286" s="393">
        <v>0.25</v>
      </c>
      <c r="E286" s="3"/>
      <c r="F286" s="3"/>
      <c r="G286" s="3"/>
      <c r="H286" s="3"/>
      <c r="I286" s="3"/>
      <c r="J286" s="3"/>
      <c r="K286" s="3"/>
      <c r="L286" s="3"/>
      <c r="M286" s="3"/>
      <c r="N286" s="17"/>
    </row>
    <row r="287" spans="1:14" x14ac:dyDescent="0.2">
      <c r="A287" s="17"/>
      <c r="B287" s="3"/>
      <c r="C287" s="527"/>
      <c r="D287" s="393">
        <v>0.3</v>
      </c>
      <c r="E287" s="3"/>
      <c r="F287" s="3"/>
      <c r="G287" s="3"/>
      <c r="H287" s="3"/>
      <c r="I287" s="3"/>
      <c r="J287" s="3"/>
      <c r="K287" s="3"/>
      <c r="L287" s="3"/>
      <c r="M287" s="3"/>
      <c r="N287" s="17"/>
    </row>
    <row r="288" spans="1:14" x14ac:dyDescent="0.2">
      <c r="A288" s="17"/>
      <c r="B288" s="3"/>
      <c r="C288" s="527"/>
      <c r="D288" s="393">
        <v>0.35</v>
      </c>
      <c r="E288" s="3"/>
      <c r="F288" s="3"/>
      <c r="G288" s="3"/>
      <c r="H288" s="3"/>
      <c r="I288" s="3"/>
      <c r="J288" s="3"/>
      <c r="K288" s="3"/>
      <c r="L288" s="3"/>
      <c r="M288" s="3"/>
      <c r="N288" s="17"/>
    </row>
    <row r="289" spans="1:15" x14ac:dyDescent="0.2">
      <c r="A289" s="17"/>
      <c r="B289" s="3"/>
      <c r="C289" s="527"/>
      <c r="D289" s="393">
        <v>0.4</v>
      </c>
      <c r="E289" s="3"/>
      <c r="F289" s="3"/>
      <c r="G289" s="3"/>
      <c r="H289" s="3"/>
      <c r="I289" s="3"/>
      <c r="J289" s="3"/>
      <c r="K289" s="3"/>
      <c r="L289" s="3"/>
      <c r="M289" s="3"/>
      <c r="N289" s="17"/>
    </row>
    <row r="290" spans="1:15" x14ac:dyDescent="0.2">
      <c r="A290" s="17"/>
      <c r="B290" s="3"/>
      <c r="C290" s="528"/>
      <c r="D290" s="393">
        <v>0.5</v>
      </c>
      <c r="E290" s="3"/>
      <c r="F290" s="3"/>
      <c r="G290" s="3"/>
      <c r="H290" s="3"/>
      <c r="I290" s="3"/>
      <c r="J290" s="3"/>
      <c r="K290" s="3"/>
      <c r="L290" s="3"/>
      <c r="M290" s="3"/>
      <c r="N290" s="17"/>
    </row>
    <row r="291" spans="1:15" ht="13.5" thickBot="1" x14ac:dyDescent="0.25">
      <c r="A291" s="60"/>
      <c r="B291" s="61"/>
      <c r="C291" s="61"/>
      <c r="D291" s="61"/>
      <c r="E291" s="61"/>
      <c r="F291" s="61"/>
      <c r="G291" s="61"/>
      <c r="H291" s="62"/>
      <c r="I291" s="62"/>
      <c r="J291" s="61"/>
      <c r="K291" s="63"/>
      <c r="L291" s="61"/>
      <c r="M291" s="61"/>
      <c r="N291" s="60"/>
    </row>
    <row r="292" spans="1:15" ht="31.5" customHeight="1" thickBot="1" x14ac:dyDescent="0.25">
      <c r="A292" s="134" t="s">
        <v>177</v>
      </c>
      <c r="B292" s="134"/>
      <c r="C292" s="134"/>
      <c r="D292" s="134"/>
      <c r="E292" s="134"/>
      <c r="F292" s="134"/>
      <c r="G292" s="134"/>
      <c r="H292" s="134"/>
      <c r="I292" s="134"/>
      <c r="J292" s="134"/>
      <c r="K292" s="134"/>
      <c r="L292" s="134"/>
      <c r="M292" s="134"/>
      <c r="N292" s="134"/>
    </row>
    <row r="293" spans="1:15" x14ac:dyDescent="0.2">
      <c r="A293" s="17"/>
      <c r="B293" s="3"/>
      <c r="C293" s="13"/>
      <c r="D293" s="3"/>
      <c r="E293" s="3"/>
      <c r="F293" s="3"/>
      <c r="G293" s="3"/>
      <c r="H293" s="3"/>
      <c r="I293" s="3"/>
      <c r="J293" s="3"/>
      <c r="K293" s="3"/>
      <c r="L293" s="3"/>
      <c r="M293" s="3"/>
      <c r="N293" s="17"/>
    </row>
    <row r="294" spans="1:15" ht="47.25" customHeight="1" x14ac:dyDescent="0.2">
      <c r="A294" s="17"/>
      <c r="B294" s="3"/>
      <c r="C294" s="477" t="s">
        <v>371</v>
      </c>
      <c r="D294" s="477"/>
      <c r="E294" s="477"/>
      <c r="F294" s="477"/>
      <c r="G294" s="477"/>
      <c r="H294" s="477"/>
      <c r="I294" s="477"/>
      <c r="J294" s="477"/>
      <c r="K294" s="477"/>
      <c r="L294" s="136"/>
      <c r="M294" s="127"/>
      <c r="N294" s="32"/>
    </row>
    <row r="295" spans="1:15" x14ac:dyDescent="0.2">
      <c r="A295" s="17"/>
      <c r="B295" s="17"/>
      <c r="C295" s="17"/>
      <c r="D295" s="17"/>
      <c r="E295" s="17"/>
      <c r="F295" s="17"/>
      <c r="G295" s="17"/>
      <c r="H295" s="17"/>
      <c r="I295" s="17"/>
      <c r="J295" s="17"/>
      <c r="K295" s="17"/>
      <c r="L295" s="17"/>
      <c r="M295" s="17"/>
      <c r="N295" s="17"/>
    </row>
    <row r="296" spans="1:15" x14ac:dyDescent="0.2">
      <c r="A296" s="17"/>
      <c r="B296" s="3"/>
      <c r="C296" s="3"/>
      <c r="D296" s="3"/>
      <c r="E296" s="3"/>
      <c r="F296" s="3"/>
      <c r="G296" s="3"/>
      <c r="H296" s="3"/>
      <c r="I296" s="3"/>
      <c r="J296" s="3"/>
      <c r="K296" s="3"/>
      <c r="L296" s="3"/>
      <c r="M296" s="3"/>
      <c r="N296" s="17"/>
    </row>
    <row r="297" spans="1:15" x14ac:dyDescent="0.2">
      <c r="A297" s="17"/>
      <c r="B297" s="3"/>
      <c r="C297" s="4" t="s">
        <v>229</v>
      </c>
      <c r="D297" s="3"/>
      <c r="E297" s="3"/>
      <c r="F297" s="3"/>
      <c r="G297" s="3"/>
      <c r="H297" s="3"/>
      <c r="I297" s="3"/>
      <c r="J297" s="3"/>
      <c r="K297" s="3"/>
      <c r="L297" s="3"/>
      <c r="M297" s="3"/>
      <c r="N297" s="17"/>
    </row>
    <row r="298" spans="1:15" ht="61.5" customHeight="1" x14ac:dyDescent="0.2">
      <c r="A298" s="17"/>
      <c r="B298" s="3"/>
      <c r="C298" s="468" t="s">
        <v>273</v>
      </c>
      <c r="D298" s="468"/>
      <c r="E298" s="468"/>
      <c r="F298" s="468"/>
      <c r="G298" s="468"/>
      <c r="H298" s="468"/>
      <c r="I298" s="468"/>
      <c r="J298" s="468"/>
      <c r="K298" s="468"/>
      <c r="L298" s="3"/>
      <c r="M298" s="3"/>
      <c r="N298" s="17"/>
    </row>
    <row r="299" spans="1:15" x14ac:dyDescent="0.2">
      <c r="A299" s="17"/>
      <c r="B299" s="3"/>
      <c r="C299" s="4"/>
      <c r="D299" s="535" t="s">
        <v>166</v>
      </c>
      <c r="E299" s="536"/>
      <c r="F299" s="150" t="s">
        <v>165</v>
      </c>
      <c r="G299" s="3"/>
      <c r="H299" s="3"/>
      <c r="I299" s="3"/>
      <c r="J299" s="3"/>
      <c r="K299" s="3"/>
      <c r="L299" s="3"/>
      <c r="M299" s="3"/>
      <c r="N299" s="17"/>
    </row>
    <row r="300" spans="1:15" ht="25.5" x14ac:dyDescent="0.2">
      <c r="A300" s="17"/>
      <c r="B300" s="3"/>
      <c r="C300" s="135" t="s">
        <v>130</v>
      </c>
      <c r="D300" s="117" t="s">
        <v>149</v>
      </c>
      <c r="E300" s="117" t="s">
        <v>148</v>
      </c>
      <c r="F300" s="117" t="s">
        <v>167</v>
      </c>
      <c r="G300" s="3"/>
      <c r="H300" s="3"/>
      <c r="I300" s="3"/>
      <c r="J300" s="3"/>
      <c r="K300" s="3"/>
      <c r="L300" s="3"/>
      <c r="M300" s="3"/>
      <c r="N300" s="17"/>
      <c r="O300" s="2"/>
    </row>
    <row r="301" spans="1:15" x14ac:dyDescent="0.2">
      <c r="A301" s="17"/>
      <c r="B301" s="3"/>
      <c r="C301" s="8" t="s">
        <v>131</v>
      </c>
      <c r="D301" s="186">
        <v>6211</v>
      </c>
      <c r="E301" s="394">
        <f>D301/$D$304</f>
        <v>0.42532356365130453</v>
      </c>
      <c r="F301" s="140">
        <v>7.4999999999999997E-2</v>
      </c>
      <c r="G301" s="3"/>
      <c r="H301" s="3"/>
      <c r="I301" s="3"/>
      <c r="J301" s="3"/>
      <c r="K301" s="3"/>
      <c r="L301" s="3"/>
      <c r="M301" s="3"/>
      <c r="N301" s="17"/>
      <c r="O301" s="2"/>
    </row>
    <row r="302" spans="1:15" x14ac:dyDescent="0.2">
      <c r="A302" s="17"/>
      <c r="B302" s="3"/>
      <c r="C302" s="8" t="s">
        <v>135</v>
      </c>
      <c r="D302" s="186">
        <v>6590</v>
      </c>
      <c r="E302" s="394">
        <f>D302/$D$304</f>
        <v>0.45127713483530779</v>
      </c>
      <c r="F302" s="140">
        <v>0.20399999999999999</v>
      </c>
      <c r="G302" s="3"/>
      <c r="H302" s="3"/>
      <c r="I302" s="3"/>
      <c r="J302" s="3"/>
      <c r="K302" s="3"/>
      <c r="L302" s="3"/>
      <c r="M302" s="3"/>
      <c r="N302" s="17"/>
    </row>
    <row r="303" spans="1:15" x14ac:dyDescent="0.2">
      <c r="A303" s="17"/>
      <c r="B303" s="3"/>
      <c r="C303" s="139" t="s">
        <v>134</v>
      </c>
      <c r="D303" s="187">
        <v>1802</v>
      </c>
      <c r="E303" s="394">
        <f>D303/$D$304</f>
        <v>0.12339930151338765</v>
      </c>
      <c r="F303" s="140">
        <v>0.72199999999999998</v>
      </c>
      <c r="G303" s="3"/>
      <c r="H303" s="3"/>
      <c r="I303" s="3"/>
      <c r="J303" s="3"/>
      <c r="K303" s="3"/>
      <c r="L303" s="3"/>
      <c r="M303" s="3"/>
      <c r="N303" s="17"/>
    </row>
    <row r="304" spans="1:15" x14ac:dyDescent="0.2">
      <c r="A304" s="17"/>
      <c r="B304" s="3"/>
      <c r="C304" s="147" t="s">
        <v>120</v>
      </c>
      <c r="D304" s="192">
        <f>SUM(D301:D303)</f>
        <v>14603</v>
      </c>
      <c r="E304" s="439">
        <f>SUM(E301:E303)</f>
        <v>1</v>
      </c>
      <c r="F304" s="439">
        <f>SUM(F301:F303)</f>
        <v>1.0009999999999999</v>
      </c>
      <c r="G304" s="3"/>
      <c r="H304" s="3"/>
      <c r="I304" s="3"/>
      <c r="J304" s="3"/>
      <c r="K304" s="3"/>
      <c r="L304" s="3"/>
      <c r="M304" s="3"/>
      <c r="N304" s="17"/>
    </row>
    <row r="305" spans="1:14" x14ac:dyDescent="0.2">
      <c r="A305" s="17"/>
      <c r="B305" s="3"/>
      <c r="C305" s="4"/>
      <c r="D305" s="3"/>
      <c r="E305" s="3"/>
      <c r="F305" s="3"/>
      <c r="G305" s="3"/>
      <c r="H305" s="3"/>
      <c r="I305" s="3"/>
      <c r="J305" s="3"/>
      <c r="K305" s="3"/>
      <c r="L305" s="3"/>
      <c r="M305" s="3"/>
      <c r="N305" s="17"/>
    </row>
    <row r="306" spans="1:14" x14ac:dyDescent="0.2">
      <c r="A306" s="17"/>
      <c r="B306" s="3"/>
      <c r="C306" s="4"/>
      <c r="D306" s="3"/>
      <c r="E306" s="3"/>
      <c r="F306" s="3"/>
      <c r="G306" s="3"/>
      <c r="H306" s="3"/>
      <c r="I306" s="3"/>
      <c r="J306" s="3"/>
      <c r="K306" s="3"/>
      <c r="L306" s="3"/>
      <c r="M306" s="3"/>
      <c r="N306" s="17"/>
    </row>
    <row r="307" spans="1:14" x14ac:dyDescent="0.2">
      <c r="A307" s="17"/>
      <c r="B307" s="17"/>
      <c r="C307" s="17"/>
      <c r="D307" s="17"/>
      <c r="E307" s="17"/>
      <c r="F307" s="17"/>
      <c r="G307" s="17"/>
      <c r="H307" s="17"/>
      <c r="I307" s="17"/>
      <c r="J307" s="17"/>
      <c r="K307" s="17"/>
      <c r="L307" s="17"/>
      <c r="M307" s="17"/>
      <c r="N307" s="17"/>
    </row>
    <row r="308" spans="1:14" x14ac:dyDescent="0.2">
      <c r="A308" s="17"/>
      <c r="B308" s="3"/>
      <c r="C308" s="3"/>
      <c r="D308" s="3"/>
      <c r="E308" s="3"/>
      <c r="F308" s="3"/>
      <c r="G308" s="3"/>
      <c r="H308" s="3"/>
      <c r="I308" s="3"/>
      <c r="J308" s="3"/>
      <c r="K308" s="3"/>
      <c r="L308" s="3"/>
      <c r="M308" s="3"/>
      <c r="N308" s="17"/>
    </row>
    <row r="309" spans="1:14" x14ac:dyDescent="0.2">
      <c r="A309" s="17"/>
      <c r="B309" s="3"/>
      <c r="C309" s="4" t="s">
        <v>230</v>
      </c>
      <c r="D309" s="3"/>
      <c r="E309" s="3"/>
      <c r="F309" s="3"/>
      <c r="G309" s="3"/>
      <c r="H309" s="3"/>
      <c r="I309" s="3"/>
      <c r="J309" s="3"/>
      <c r="K309" s="3"/>
      <c r="L309" s="3"/>
      <c r="M309" s="3"/>
      <c r="N309" s="17"/>
    </row>
    <row r="310" spans="1:14" ht="30" customHeight="1" x14ac:dyDescent="0.2">
      <c r="A310" s="17"/>
      <c r="B310" s="3"/>
      <c r="C310" s="468" t="s">
        <v>393</v>
      </c>
      <c r="D310" s="468"/>
      <c r="E310" s="468"/>
      <c r="F310" s="468"/>
      <c r="G310" s="468"/>
      <c r="H310" s="468"/>
      <c r="I310" s="468"/>
      <c r="J310" s="468"/>
      <c r="K310" s="468"/>
      <c r="L310" s="3"/>
      <c r="M310" s="3"/>
      <c r="N310" s="17"/>
    </row>
    <row r="311" spans="1:14" x14ac:dyDescent="0.2">
      <c r="A311" s="17"/>
      <c r="B311" s="3"/>
      <c r="C311" s="4"/>
      <c r="D311" s="3"/>
      <c r="E311" s="3"/>
      <c r="F311" s="3"/>
      <c r="G311" s="3"/>
      <c r="H311" s="3"/>
      <c r="I311" s="3"/>
      <c r="J311" s="3"/>
      <c r="K311" s="3"/>
      <c r="L311" s="3"/>
      <c r="M311" s="3"/>
      <c r="N311" s="17"/>
    </row>
    <row r="312" spans="1:14" ht="38.25" x14ac:dyDescent="0.2">
      <c r="A312" s="17"/>
      <c r="B312" s="3"/>
      <c r="C312" s="135" t="s">
        <v>130</v>
      </c>
      <c r="D312" s="117" t="s">
        <v>391</v>
      </c>
      <c r="E312" s="117" t="s">
        <v>392</v>
      </c>
      <c r="F312" s="3"/>
      <c r="G312" s="3"/>
      <c r="H312" s="3"/>
      <c r="I312" s="3"/>
      <c r="J312" s="3"/>
      <c r="K312" s="3"/>
      <c r="L312" s="3"/>
      <c r="M312" s="3"/>
      <c r="N312" s="17"/>
    </row>
    <row r="313" spans="1:14" x14ac:dyDescent="0.2">
      <c r="A313" s="17"/>
      <c r="B313" s="3"/>
      <c r="C313" s="8" t="s">
        <v>133</v>
      </c>
      <c r="D313" s="80">
        <v>280</v>
      </c>
      <c r="E313" s="80">
        <v>280</v>
      </c>
      <c r="F313" s="3"/>
      <c r="G313" s="3"/>
      <c r="H313" s="3"/>
      <c r="I313" s="3"/>
      <c r="J313" s="3"/>
      <c r="K313" s="3"/>
      <c r="L313" s="3"/>
      <c r="M313" s="3"/>
      <c r="N313" s="17"/>
    </row>
    <row r="314" spans="1:14" x14ac:dyDescent="0.2">
      <c r="A314" s="17"/>
      <c r="B314" s="3"/>
      <c r="C314" s="8" t="s">
        <v>132</v>
      </c>
      <c r="D314" s="80">
        <v>320</v>
      </c>
      <c r="E314" s="80">
        <v>320</v>
      </c>
      <c r="F314" s="3"/>
      <c r="G314" s="3"/>
      <c r="H314" s="3"/>
      <c r="I314" s="3"/>
      <c r="J314" s="3"/>
      <c r="K314" s="3"/>
      <c r="L314" s="3"/>
      <c r="M314" s="3"/>
      <c r="N314" s="17"/>
    </row>
    <row r="315" spans="1:14" x14ac:dyDescent="0.2">
      <c r="A315" s="17"/>
      <c r="B315" s="3"/>
      <c r="C315" s="8" t="s">
        <v>134</v>
      </c>
      <c r="D315" s="80">
        <v>140</v>
      </c>
      <c r="E315" s="80">
        <v>160</v>
      </c>
      <c r="F315" s="3"/>
      <c r="G315" s="3"/>
      <c r="H315" s="3"/>
      <c r="I315" s="3"/>
      <c r="J315" s="3"/>
      <c r="K315" s="3"/>
      <c r="L315" s="3"/>
      <c r="M315" s="3"/>
      <c r="N315" s="17"/>
    </row>
    <row r="316" spans="1:14" x14ac:dyDescent="0.2">
      <c r="A316" s="17"/>
      <c r="B316" s="3"/>
      <c r="C316" s="8" t="s">
        <v>168</v>
      </c>
      <c r="D316" s="98">
        <f>D313*$F$301+D314*$F$302+D315*$F$303</f>
        <v>187.36</v>
      </c>
      <c r="E316" s="98">
        <f>E313*$F$301+E314*$F$302+E315*$F$303</f>
        <v>201.8</v>
      </c>
      <c r="F316" s="3"/>
      <c r="G316" s="3"/>
      <c r="H316" s="3"/>
      <c r="I316" s="3"/>
      <c r="J316" s="3"/>
      <c r="K316" s="3"/>
      <c r="L316" s="3"/>
      <c r="M316" s="3"/>
      <c r="N316" s="17"/>
    </row>
    <row r="317" spans="1:14" x14ac:dyDescent="0.2">
      <c r="A317" s="17"/>
      <c r="B317" s="3"/>
      <c r="C317" s="4"/>
      <c r="D317" s="3"/>
      <c r="E317" s="3"/>
      <c r="F317" s="3"/>
      <c r="G317" s="3"/>
      <c r="H317" s="3"/>
      <c r="I317" s="3"/>
      <c r="J317" s="3"/>
      <c r="K317" s="3"/>
      <c r="L317" s="3"/>
      <c r="M317" s="3"/>
      <c r="N317" s="17"/>
    </row>
    <row r="318" spans="1:14" x14ac:dyDescent="0.2">
      <c r="A318" s="17"/>
      <c r="B318" s="3"/>
      <c r="C318" s="4"/>
      <c r="D318" s="3"/>
      <c r="E318" s="3"/>
      <c r="F318" s="3"/>
      <c r="G318" s="3"/>
      <c r="H318" s="3"/>
      <c r="I318" s="3"/>
      <c r="J318" s="3"/>
      <c r="K318" s="3"/>
      <c r="L318" s="3"/>
      <c r="M318" s="3"/>
      <c r="N318" s="17"/>
    </row>
    <row r="319" spans="1:14" x14ac:dyDescent="0.2">
      <c r="A319" s="17"/>
      <c r="B319" s="17"/>
      <c r="C319" s="17"/>
      <c r="D319" s="17"/>
      <c r="E319" s="17"/>
      <c r="F319" s="17"/>
      <c r="G319" s="17"/>
      <c r="H319" s="17"/>
      <c r="I319" s="17"/>
      <c r="J319" s="17"/>
      <c r="K319" s="17"/>
      <c r="L319" s="17"/>
      <c r="M319" s="17"/>
      <c r="N319" s="17"/>
    </row>
    <row r="320" spans="1:14" x14ac:dyDescent="0.2">
      <c r="A320" s="17"/>
      <c r="B320" s="3"/>
      <c r="C320" s="3"/>
      <c r="D320" s="3"/>
      <c r="E320" s="3"/>
      <c r="F320" s="3"/>
      <c r="G320" s="3"/>
      <c r="H320" s="3"/>
      <c r="I320" s="3"/>
      <c r="J320" s="3"/>
      <c r="K320" s="3"/>
      <c r="L320" s="3"/>
      <c r="M320" s="3"/>
      <c r="N320" s="17"/>
    </row>
    <row r="321" spans="1:15" x14ac:dyDescent="0.2">
      <c r="A321" s="17"/>
      <c r="B321" s="3"/>
      <c r="C321" s="4" t="s">
        <v>231</v>
      </c>
      <c r="D321" s="3"/>
      <c r="E321" s="3"/>
      <c r="F321" s="3"/>
      <c r="G321" s="3"/>
      <c r="H321" s="3"/>
      <c r="I321" s="3"/>
      <c r="J321" s="3"/>
      <c r="K321" s="3"/>
      <c r="L321" s="3"/>
      <c r="M321" s="3"/>
      <c r="N321" s="17"/>
    </row>
    <row r="322" spans="1:15" ht="82.5" customHeight="1" x14ac:dyDescent="0.2">
      <c r="A322" s="17"/>
      <c r="B322" s="3"/>
      <c r="C322" s="468" t="s">
        <v>274</v>
      </c>
      <c r="D322" s="468"/>
      <c r="E322" s="468"/>
      <c r="F322" s="468"/>
      <c r="G322" s="468"/>
      <c r="H322" s="468"/>
      <c r="I322" s="468"/>
      <c r="J322" s="468"/>
      <c r="K322" s="468"/>
      <c r="L322" s="3"/>
      <c r="M322" s="3"/>
      <c r="N322" s="17"/>
      <c r="O322" s="2"/>
    </row>
    <row r="323" spans="1:15" x14ac:dyDescent="0.2">
      <c r="A323" s="17"/>
      <c r="B323" s="3"/>
      <c r="C323" s="4"/>
      <c r="D323" s="535" t="s">
        <v>169</v>
      </c>
      <c r="E323" s="536"/>
      <c r="F323" s="535" t="s">
        <v>203</v>
      </c>
      <c r="G323" s="536"/>
      <c r="H323" s="535" t="s">
        <v>170</v>
      </c>
      <c r="I323" s="536"/>
      <c r="J323" s="3"/>
      <c r="K323" s="3"/>
      <c r="L323" s="3"/>
      <c r="M323" s="3"/>
      <c r="N323" s="17"/>
      <c r="O323" s="2"/>
    </row>
    <row r="324" spans="1:15" ht="25.5" x14ac:dyDescent="0.2">
      <c r="A324" s="17"/>
      <c r="B324" s="3"/>
      <c r="C324" s="173" t="s">
        <v>210</v>
      </c>
      <c r="D324" s="171" t="s">
        <v>163</v>
      </c>
      <c r="E324" s="169" t="s">
        <v>164</v>
      </c>
      <c r="F324" s="171" t="s">
        <v>163</v>
      </c>
      <c r="G324" s="169" t="s">
        <v>164</v>
      </c>
      <c r="H324" s="171" t="s">
        <v>163</v>
      </c>
      <c r="I324" s="169" t="s">
        <v>164</v>
      </c>
      <c r="J324" s="3"/>
      <c r="K324" s="3"/>
      <c r="L324" s="3"/>
      <c r="M324" s="3"/>
      <c r="N324" s="17"/>
    </row>
    <row r="325" spans="1:15" x14ac:dyDescent="0.2">
      <c r="A325" s="17"/>
      <c r="B325" s="3"/>
      <c r="C325" s="8" t="s">
        <v>267</v>
      </c>
      <c r="D325" s="172">
        <f>D326-0.04</f>
        <v>0.7</v>
      </c>
      <c r="E325" s="170">
        <f>1-D325</f>
        <v>0.30000000000000004</v>
      </c>
      <c r="F325" s="172">
        <f>F326-0.04</f>
        <v>0.83</v>
      </c>
      <c r="G325" s="170">
        <f>1-F325</f>
        <v>0.17000000000000004</v>
      </c>
      <c r="H325" s="172">
        <f>H326-0.04</f>
        <v>0.82</v>
      </c>
      <c r="I325" s="170">
        <f>1-H325</f>
        <v>0.18000000000000005</v>
      </c>
      <c r="J325" s="3"/>
      <c r="K325" s="3"/>
      <c r="L325" s="3"/>
      <c r="M325" s="3"/>
      <c r="N325" s="17"/>
    </row>
    <row r="326" spans="1:15" x14ac:dyDescent="0.2">
      <c r="A326" s="17"/>
      <c r="B326" s="3"/>
      <c r="C326" s="8" t="s">
        <v>175</v>
      </c>
      <c r="D326" s="172">
        <v>0.74</v>
      </c>
      <c r="E326" s="170">
        <f>1-D326</f>
        <v>0.26</v>
      </c>
      <c r="F326" s="172">
        <v>0.87</v>
      </c>
      <c r="G326" s="170">
        <f t="shared" ref="G326:G328" si="13">1-F326</f>
        <v>0.13</v>
      </c>
      <c r="H326" s="172">
        <v>0.86</v>
      </c>
      <c r="I326" s="170">
        <f t="shared" ref="I326:I328" si="14">1-H326</f>
        <v>0.14000000000000001</v>
      </c>
      <c r="J326" s="3"/>
      <c r="K326" s="3"/>
      <c r="L326" s="3"/>
      <c r="M326" s="3"/>
      <c r="N326" s="17"/>
    </row>
    <row r="327" spans="1:15" x14ac:dyDescent="0.2">
      <c r="A327" s="17"/>
      <c r="B327" s="3"/>
      <c r="C327" s="8" t="s">
        <v>265</v>
      </c>
      <c r="D327" s="172">
        <f>D326+0.04</f>
        <v>0.78</v>
      </c>
      <c r="E327" s="170">
        <f t="shared" ref="E327:E328" si="15">1-D327</f>
        <v>0.21999999999999997</v>
      </c>
      <c r="F327" s="172">
        <f>F326+0.04</f>
        <v>0.91</v>
      </c>
      <c r="G327" s="170">
        <f t="shared" si="13"/>
        <v>8.9999999999999969E-2</v>
      </c>
      <c r="H327" s="172">
        <f>H326+0.04</f>
        <v>0.9</v>
      </c>
      <c r="I327" s="170">
        <f t="shared" si="14"/>
        <v>9.9999999999999978E-2</v>
      </c>
      <c r="J327" s="3"/>
      <c r="K327" s="3"/>
      <c r="L327" s="3"/>
      <c r="M327" s="3"/>
      <c r="N327" s="17"/>
    </row>
    <row r="328" spans="1:15" x14ac:dyDescent="0.2">
      <c r="A328" s="17"/>
      <c r="B328" s="3"/>
      <c r="C328" s="228" t="s">
        <v>266</v>
      </c>
      <c r="D328" s="230">
        <v>1</v>
      </c>
      <c r="E328" s="231">
        <f t="shared" si="15"/>
        <v>0</v>
      </c>
      <c r="F328" s="230">
        <v>1</v>
      </c>
      <c r="G328" s="231">
        <f t="shared" si="13"/>
        <v>0</v>
      </c>
      <c r="H328" s="230">
        <v>1</v>
      </c>
      <c r="I328" s="231">
        <f t="shared" si="14"/>
        <v>0</v>
      </c>
      <c r="J328" s="3"/>
      <c r="K328" s="3"/>
      <c r="L328" s="3"/>
      <c r="M328" s="3"/>
      <c r="N328" s="17"/>
      <c r="O328" s="229"/>
    </row>
    <row r="329" spans="1:15" x14ac:dyDescent="0.2">
      <c r="A329" s="17"/>
      <c r="B329" s="3"/>
      <c r="C329" s="4"/>
      <c r="D329" s="3"/>
      <c r="E329" s="3"/>
      <c r="F329" s="3"/>
      <c r="G329" s="3"/>
      <c r="H329" s="3"/>
      <c r="I329" s="3"/>
      <c r="J329" s="3"/>
      <c r="K329" s="3"/>
      <c r="L329" s="3"/>
      <c r="M329" s="3"/>
      <c r="N329" s="17"/>
    </row>
    <row r="330" spans="1:15" x14ac:dyDescent="0.2">
      <c r="A330" s="17"/>
      <c r="B330" s="17"/>
      <c r="C330" s="17"/>
      <c r="D330" s="17"/>
      <c r="E330" s="17"/>
      <c r="F330" s="17"/>
      <c r="G330" s="17"/>
      <c r="H330" s="17"/>
      <c r="I330" s="17"/>
      <c r="J330" s="17"/>
      <c r="K330" s="17"/>
      <c r="L330" s="17"/>
      <c r="M330" s="17"/>
      <c r="N330" s="17"/>
    </row>
    <row r="331" spans="1:15" x14ac:dyDescent="0.2">
      <c r="A331" s="17"/>
      <c r="B331" s="3"/>
      <c r="C331" s="3"/>
      <c r="D331" s="3"/>
      <c r="E331" s="3"/>
      <c r="F331" s="3"/>
      <c r="G331" s="3"/>
      <c r="H331" s="3"/>
      <c r="I331" s="3"/>
      <c r="J331" s="3"/>
      <c r="K331" s="3"/>
      <c r="L331" s="3"/>
      <c r="M331" s="3"/>
      <c r="N331" s="17"/>
    </row>
    <row r="332" spans="1:15" x14ac:dyDescent="0.2">
      <c r="A332" s="17"/>
      <c r="B332" s="3"/>
      <c r="C332" s="4" t="s">
        <v>232</v>
      </c>
      <c r="D332" s="3"/>
      <c r="E332" s="3"/>
      <c r="F332" s="3"/>
      <c r="G332" s="3"/>
      <c r="H332" s="3"/>
      <c r="I332" s="3"/>
      <c r="J332" s="3"/>
      <c r="K332" s="3"/>
      <c r="L332" s="3"/>
      <c r="M332" s="3"/>
      <c r="N332" s="17"/>
    </row>
    <row r="333" spans="1:15" ht="15" customHeight="1" x14ac:dyDescent="0.2">
      <c r="A333" s="17"/>
      <c r="B333" s="3"/>
      <c r="C333" s="468" t="s">
        <v>202</v>
      </c>
      <c r="D333" s="468"/>
      <c r="E333" s="468"/>
      <c r="F333" s="468"/>
      <c r="G333" s="468"/>
      <c r="H333" s="468"/>
      <c r="I333" s="468"/>
      <c r="J333" s="468"/>
      <c r="K333" s="468"/>
      <c r="L333" s="3"/>
      <c r="M333" s="3"/>
      <c r="N333" s="17"/>
      <c r="O333" s="215"/>
    </row>
    <row r="334" spans="1:15" x14ac:dyDescent="0.2">
      <c r="A334" s="17"/>
      <c r="B334" s="3"/>
      <c r="C334" s="4"/>
      <c r="D334" s="3"/>
      <c r="E334" s="3"/>
      <c r="F334" s="3"/>
      <c r="G334" s="3"/>
      <c r="H334" s="3"/>
      <c r="I334" s="3"/>
      <c r="J334" s="3"/>
      <c r="K334" s="3"/>
      <c r="L334" s="3"/>
      <c r="M334" s="3"/>
      <c r="N334" s="17"/>
    </row>
    <row r="335" spans="1:15" x14ac:dyDescent="0.2">
      <c r="A335" s="17"/>
      <c r="B335" s="3"/>
      <c r="C335" s="123" t="s">
        <v>171</v>
      </c>
      <c r="D335" s="3"/>
      <c r="E335" s="123" t="s">
        <v>173</v>
      </c>
      <c r="F335" s="3"/>
      <c r="G335" s="3"/>
      <c r="H335" s="3"/>
      <c r="I335" s="3"/>
      <c r="J335" s="3"/>
      <c r="K335" s="3"/>
      <c r="L335" s="3"/>
      <c r="M335" s="3"/>
      <c r="N335" s="17"/>
    </row>
    <row r="336" spans="1:15" x14ac:dyDescent="0.2">
      <c r="A336" s="17"/>
      <c r="B336" s="3"/>
      <c r="C336" s="346" t="s">
        <v>367</v>
      </c>
      <c r="D336" s="3"/>
      <c r="E336" s="346" t="s">
        <v>368</v>
      </c>
      <c r="F336" s="3"/>
      <c r="G336" s="3"/>
      <c r="H336" s="3"/>
      <c r="I336" s="3"/>
      <c r="J336" s="3"/>
      <c r="K336" s="3"/>
      <c r="L336" s="3"/>
      <c r="M336" s="3"/>
      <c r="N336" s="17"/>
    </row>
    <row r="337" spans="1:15" x14ac:dyDescent="0.2">
      <c r="A337" s="17"/>
      <c r="B337" s="3"/>
      <c r="C337" s="346" t="s">
        <v>179</v>
      </c>
      <c r="D337" s="3"/>
      <c r="E337" s="346" t="s">
        <v>184</v>
      </c>
      <c r="F337" s="3"/>
      <c r="G337" s="3"/>
      <c r="H337" s="3"/>
      <c r="I337" s="3"/>
      <c r="J337" s="3"/>
      <c r="K337" s="3"/>
      <c r="L337" s="3"/>
      <c r="M337" s="3"/>
      <c r="N337" s="17"/>
    </row>
    <row r="338" spans="1:15" x14ac:dyDescent="0.2">
      <c r="A338" s="17"/>
      <c r="B338" s="3"/>
      <c r="C338" s="347" t="s">
        <v>183</v>
      </c>
      <c r="D338" s="3"/>
      <c r="E338" s="346" t="s">
        <v>147</v>
      </c>
      <c r="F338" s="3"/>
      <c r="G338" s="3"/>
      <c r="H338" s="3"/>
      <c r="I338" s="3"/>
      <c r="J338" s="3"/>
      <c r="K338" s="3"/>
      <c r="L338" s="3"/>
      <c r="M338" s="3"/>
      <c r="N338" s="17"/>
    </row>
    <row r="339" spans="1:15" x14ac:dyDescent="0.2">
      <c r="A339" s="17"/>
      <c r="B339" s="3"/>
      <c r="C339" s="347" t="s">
        <v>180</v>
      </c>
      <c r="D339" s="3"/>
      <c r="E339" s="347" t="s">
        <v>182</v>
      </c>
      <c r="F339" s="3"/>
      <c r="G339" s="3"/>
      <c r="H339" s="3"/>
      <c r="I339" s="3"/>
      <c r="J339" s="3"/>
      <c r="K339" s="3"/>
      <c r="L339" s="3"/>
      <c r="M339" s="3"/>
      <c r="N339" s="17"/>
    </row>
    <row r="340" spans="1:15" x14ac:dyDescent="0.2">
      <c r="A340" s="17"/>
      <c r="B340" s="3"/>
      <c r="C340" s="347" t="s">
        <v>181</v>
      </c>
      <c r="D340" s="3"/>
      <c r="E340" s="3"/>
      <c r="F340" s="3"/>
      <c r="G340" s="3"/>
      <c r="H340" s="3"/>
      <c r="I340" s="3"/>
      <c r="J340" s="3"/>
      <c r="K340" s="3"/>
      <c r="L340" s="3"/>
      <c r="M340" s="3"/>
      <c r="N340" s="17"/>
    </row>
    <row r="341" spans="1:15" x14ac:dyDescent="0.2">
      <c r="A341" s="17"/>
      <c r="B341" s="3"/>
      <c r="C341" s="347" t="s">
        <v>182</v>
      </c>
      <c r="D341" s="3"/>
      <c r="E341" s="3"/>
      <c r="F341" s="3"/>
      <c r="G341" s="3"/>
      <c r="H341" s="3"/>
      <c r="I341" s="3"/>
      <c r="J341" s="3"/>
      <c r="K341" s="3"/>
      <c r="L341" s="3"/>
      <c r="M341" s="3"/>
      <c r="N341" s="17"/>
    </row>
    <row r="342" spans="1:15" x14ac:dyDescent="0.2">
      <c r="A342" s="17"/>
      <c r="B342" s="3"/>
      <c r="C342" s="4"/>
      <c r="D342" s="3"/>
      <c r="E342" s="3"/>
      <c r="F342" s="3"/>
      <c r="G342" s="3"/>
      <c r="H342" s="3"/>
      <c r="I342" s="3"/>
      <c r="J342" s="3"/>
      <c r="K342" s="3"/>
      <c r="L342" s="3"/>
      <c r="M342" s="3"/>
      <c r="N342" s="17"/>
    </row>
    <row r="343" spans="1:15" x14ac:dyDescent="0.2">
      <c r="A343" s="17"/>
      <c r="B343" s="3"/>
      <c r="C343" s="4"/>
      <c r="D343" s="3"/>
      <c r="E343" s="3"/>
      <c r="F343" s="3"/>
      <c r="G343" s="3"/>
      <c r="H343" s="3"/>
      <c r="I343" s="3"/>
      <c r="J343" s="3"/>
      <c r="K343" s="3"/>
      <c r="L343" s="3"/>
      <c r="M343" s="3"/>
      <c r="N343" s="17"/>
    </row>
    <row r="344" spans="1:15" x14ac:dyDescent="0.2">
      <c r="A344" s="17"/>
      <c r="B344" s="17"/>
      <c r="C344" s="17"/>
      <c r="D344" s="17"/>
      <c r="E344" s="17"/>
      <c r="F344" s="17"/>
      <c r="G344" s="17"/>
      <c r="H344" s="17"/>
      <c r="I344" s="17"/>
      <c r="J344" s="17"/>
      <c r="K344" s="17"/>
      <c r="L344" s="17"/>
      <c r="M344" s="17"/>
      <c r="N344" s="17"/>
      <c r="O344" s="161"/>
    </row>
    <row r="345" spans="1:15" x14ac:dyDescent="0.2">
      <c r="A345" s="17"/>
      <c r="B345" s="3"/>
      <c r="C345" s="3"/>
      <c r="D345" s="3"/>
      <c r="E345" s="3"/>
      <c r="F345" s="3"/>
      <c r="G345" s="3"/>
      <c r="H345" s="3"/>
      <c r="I345" s="3"/>
      <c r="J345" s="3"/>
      <c r="K345" s="3"/>
      <c r="L345" s="3"/>
      <c r="M345" s="3"/>
      <c r="N345" s="17"/>
      <c r="O345" s="161"/>
    </row>
    <row r="346" spans="1:15" x14ac:dyDescent="0.2">
      <c r="A346" s="17"/>
      <c r="B346" s="3"/>
      <c r="C346" s="4" t="s">
        <v>233</v>
      </c>
      <c r="D346" s="3"/>
      <c r="E346" s="3"/>
      <c r="F346" s="3"/>
      <c r="G346" s="3"/>
      <c r="H346" s="3"/>
      <c r="I346" s="3"/>
      <c r="J346" s="3"/>
      <c r="K346" s="3"/>
      <c r="L346" s="3"/>
      <c r="M346" s="3"/>
      <c r="N346" s="17"/>
      <c r="O346" s="161"/>
    </row>
    <row r="347" spans="1:15" ht="15.75" customHeight="1" x14ac:dyDescent="0.2">
      <c r="A347" s="17"/>
      <c r="B347" s="3"/>
      <c r="C347" s="468" t="s">
        <v>275</v>
      </c>
      <c r="D347" s="468"/>
      <c r="E347" s="468"/>
      <c r="F347" s="468"/>
      <c r="G347" s="468"/>
      <c r="H347" s="468"/>
      <c r="I347" s="468"/>
      <c r="J347" s="468"/>
      <c r="K347" s="468"/>
      <c r="L347" s="3"/>
      <c r="M347" s="3"/>
      <c r="N347" s="17"/>
      <c r="O347" s="161"/>
    </row>
    <row r="348" spans="1:15" x14ac:dyDescent="0.2">
      <c r="A348" s="17"/>
      <c r="B348" s="3"/>
      <c r="C348" s="4"/>
      <c r="D348" s="3"/>
      <c r="E348" s="3"/>
      <c r="F348" s="3"/>
      <c r="G348" s="3"/>
      <c r="H348" s="3"/>
      <c r="I348" s="3"/>
      <c r="J348" s="3"/>
      <c r="K348" s="3"/>
      <c r="L348" s="3"/>
      <c r="M348" s="3"/>
      <c r="N348" s="17"/>
      <c r="O348" s="161"/>
    </row>
    <row r="349" spans="1:15" x14ac:dyDescent="0.2">
      <c r="A349" s="17"/>
      <c r="B349" s="3"/>
      <c r="C349" s="138" t="s">
        <v>143</v>
      </c>
      <c r="D349" s="234" t="s">
        <v>5</v>
      </c>
      <c r="E349" s="235" t="s">
        <v>178</v>
      </c>
      <c r="F349" s="152"/>
      <c r="G349" s="152"/>
      <c r="H349" s="151"/>
      <c r="I349" s="3"/>
      <c r="J349" s="3"/>
      <c r="K349" s="3"/>
      <c r="L349" s="3"/>
      <c r="M349" s="3"/>
      <c r="N349" s="17"/>
      <c r="O349" s="161"/>
    </row>
    <row r="350" spans="1:15" x14ac:dyDescent="0.2">
      <c r="A350" s="17"/>
      <c r="B350" s="3"/>
      <c r="C350" s="8" t="s">
        <v>139</v>
      </c>
      <c r="D350" s="237">
        <v>230</v>
      </c>
      <c r="E350" s="238"/>
      <c r="F350" s="239"/>
      <c r="G350" s="239"/>
      <c r="H350" s="183"/>
      <c r="I350" s="3"/>
      <c r="J350" s="3"/>
      <c r="K350" s="3"/>
      <c r="L350" s="3"/>
      <c r="M350" s="3"/>
      <c r="N350" s="17"/>
      <c r="O350" s="161"/>
    </row>
    <row r="351" spans="1:15" x14ac:dyDescent="0.2">
      <c r="A351" s="17"/>
      <c r="B351" s="3"/>
      <c r="C351" s="8" t="s">
        <v>140</v>
      </c>
      <c r="D351" s="431">
        <f>D350*2</f>
        <v>460</v>
      </c>
      <c r="E351" s="236" t="s">
        <v>357</v>
      </c>
      <c r="F351" s="152"/>
      <c r="G351" s="152"/>
      <c r="H351" s="151"/>
      <c r="I351" s="3"/>
      <c r="J351" s="3"/>
      <c r="K351" s="3"/>
      <c r="L351" s="3"/>
      <c r="M351" s="3"/>
      <c r="N351" s="17"/>
      <c r="O351" s="161"/>
    </row>
    <row r="352" spans="1:15" x14ac:dyDescent="0.2">
      <c r="A352" s="17"/>
      <c r="B352" s="3"/>
      <c r="C352" s="8" t="s">
        <v>141</v>
      </c>
      <c r="D352" s="432">
        <f>E11</f>
        <v>1.4973573793967598</v>
      </c>
      <c r="E352" s="236" t="s">
        <v>366</v>
      </c>
      <c r="F352" s="152"/>
      <c r="G352" s="152"/>
      <c r="H352" s="151"/>
      <c r="I352" s="3"/>
      <c r="J352" s="3"/>
      <c r="K352" s="3"/>
      <c r="L352" s="3"/>
      <c r="M352" s="3"/>
      <c r="N352" s="17"/>
      <c r="O352" s="161"/>
    </row>
    <row r="353" spans="1:15" x14ac:dyDescent="0.2">
      <c r="A353" s="17"/>
      <c r="B353" s="3"/>
      <c r="C353" s="8" t="s">
        <v>142</v>
      </c>
      <c r="D353" s="433">
        <f>D352*D351</f>
        <v>688.7843945225095</v>
      </c>
      <c r="E353" s="233" t="s">
        <v>276</v>
      </c>
      <c r="F353" s="240"/>
      <c r="G353" s="240"/>
      <c r="H353" s="182"/>
      <c r="I353" s="3"/>
      <c r="J353" s="3"/>
      <c r="K353" s="3"/>
      <c r="L353" s="3"/>
      <c r="M353" s="3"/>
      <c r="N353" s="17"/>
      <c r="O353" s="161"/>
    </row>
    <row r="354" spans="1:15" x14ac:dyDescent="0.2">
      <c r="A354" s="17"/>
      <c r="B354" s="3"/>
      <c r="C354" s="4"/>
      <c r="D354" s="3"/>
      <c r="E354" s="3"/>
      <c r="F354" s="3"/>
      <c r="G354" s="3"/>
      <c r="H354" s="3"/>
      <c r="I354" s="3"/>
      <c r="J354" s="3"/>
      <c r="K354" s="3"/>
      <c r="L354" s="3"/>
      <c r="M354" s="3"/>
      <c r="N354" s="17"/>
      <c r="O354" s="161"/>
    </row>
    <row r="355" spans="1:15" x14ac:dyDescent="0.2">
      <c r="A355" s="17"/>
      <c r="B355" s="17"/>
      <c r="C355" s="17"/>
      <c r="D355" s="17"/>
      <c r="E355" s="17"/>
      <c r="F355" s="17"/>
      <c r="G355" s="17"/>
      <c r="H355" s="17"/>
      <c r="I355" s="17"/>
      <c r="J355" s="17"/>
      <c r="K355" s="17"/>
      <c r="L355" s="17"/>
      <c r="M355" s="17"/>
      <c r="N355" s="17"/>
      <c r="O355" s="161"/>
    </row>
    <row r="356" spans="1:15" x14ac:dyDescent="0.2">
      <c r="A356" s="17"/>
      <c r="B356" s="3"/>
      <c r="C356" s="3"/>
      <c r="D356" s="3"/>
      <c r="E356" s="3"/>
      <c r="F356" s="3"/>
      <c r="G356" s="3"/>
      <c r="H356" s="3"/>
      <c r="I356" s="3"/>
      <c r="J356" s="3"/>
      <c r="K356" s="3"/>
      <c r="L356" s="3"/>
      <c r="M356" s="3"/>
      <c r="N356" s="17"/>
    </row>
    <row r="357" spans="1:15" x14ac:dyDescent="0.2">
      <c r="A357" s="17"/>
      <c r="B357" s="3"/>
      <c r="C357" s="4" t="s">
        <v>234</v>
      </c>
      <c r="D357" s="3"/>
      <c r="E357" s="3"/>
      <c r="F357" s="3"/>
      <c r="G357" s="3"/>
      <c r="H357" s="3"/>
      <c r="I357" s="3"/>
      <c r="J357" s="3"/>
      <c r="K357" s="3"/>
      <c r="L357" s="3"/>
      <c r="M357" s="3"/>
      <c r="N357" s="17"/>
    </row>
    <row r="358" spans="1:15" ht="43.5" customHeight="1" x14ac:dyDescent="0.2">
      <c r="A358" s="17"/>
      <c r="B358" s="3"/>
      <c r="C358" s="468" t="s">
        <v>396</v>
      </c>
      <c r="D358" s="468"/>
      <c r="E358" s="468"/>
      <c r="F358" s="468"/>
      <c r="G358" s="468"/>
      <c r="H358" s="468"/>
      <c r="I358" s="468"/>
      <c r="J358" s="468"/>
      <c r="K358" s="468"/>
      <c r="L358" s="3"/>
      <c r="M358" s="3"/>
      <c r="N358" s="17"/>
      <c r="O358" s="161"/>
    </row>
    <row r="359" spans="1:15" x14ac:dyDescent="0.2">
      <c r="A359" s="17"/>
      <c r="B359" s="3"/>
      <c r="C359" s="4"/>
      <c r="D359" s="342"/>
      <c r="E359" s="13"/>
      <c r="F359" s="3"/>
      <c r="G359" s="3"/>
      <c r="H359" s="3"/>
      <c r="I359" s="3"/>
      <c r="J359" s="3"/>
      <c r="K359" s="3"/>
      <c r="L359" s="3"/>
      <c r="M359" s="3"/>
      <c r="N359" s="17"/>
      <c r="O359" s="161"/>
    </row>
    <row r="360" spans="1:15" x14ac:dyDescent="0.2">
      <c r="A360" s="17"/>
      <c r="B360" s="3"/>
      <c r="C360" s="138" t="s">
        <v>144</v>
      </c>
      <c r="D360" s="133" t="s">
        <v>145</v>
      </c>
      <c r="E360" s="234" t="s">
        <v>394</v>
      </c>
      <c r="F360" s="153" t="s">
        <v>162</v>
      </c>
      <c r="G360" s="152"/>
      <c r="H360" s="151"/>
      <c r="I360" s="3"/>
      <c r="J360" s="3"/>
      <c r="K360" s="3"/>
      <c r="L360" s="3"/>
      <c r="M360" s="3"/>
      <c r="N360" s="17"/>
      <c r="O360" s="2"/>
    </row>
    <row r="361" spans="1:15" x14ac:dyDescent="0.2">
      <c r="A361" s="17"/>
      <c r="B361" s="3"/>
      <c r="C361" s="8" t="s">
        <v>146</v>
      </c>
      <c r="D361" s="140">
        <f>17%-D366*0.25</f>
        <v>0.13750000000000001</v>
      </c>
      <c r="E361" s="98">
        <f>Utbyggingsinformasjon!G22</f>
        <v>0</v>
      </c>
      <c r="F361" s="598" t="s">
        <v>222</v>
      </c>
      <c r="G361" s="598"/>
      <c r="H361" s="599"/>
      <c r="I361" s="3"/>
      <c r="J361" s="3"/>
      <c r="K361" s="3"/>
      <c r="L361" s="3"/>
      <c r="M361" s="3"/>
      <c r="N361" s="17"/>
      <c r="O361" s="2"/>
    </row>
    <row r="362" spans="1:15" x14ac:dyDescent="0.2">
      <c r="A362" s="17"/>
      <c r="B362" s="3"/>
      <c r="C362" s="8" t="s">
        <v>147</v>
      </c>
      <c r="D362" s="140">
        <f>21%-D366*0.25</f>
        <v>0.17749999999999999</v>
      </c>
      <c r="E362" s="98">
        <f>Utbyggingsinformasjon!G23</f>
        <v>0</v>
      </c>
      <c r="F362" s="524" t="s">
        <v>223</v>
      </c>
      <c r="G362" s="524"/>
      <c r="H362" s="525"/>
      <c r="I362" s="3"/>
      <c r="J362" s="3"/>
      <c r="K362" s="3"/>
      <c r="L362" s="3"/>
      <c r="M362" s="3"/>
      <c r="N362" s="17"/>
      <c r="O362" s="161"/>
    </row>
    <row r="363" spans="1:15" x14ac:dyDescent="0.2">
      <c r="A363" s="17"/>
      <c r="B363" s="3"/>
      <c r="C363" s="8" t="s">
        <v>161</v>
      </c>
      <c r="D363" s="140">
        <v>0.38</v>
      </c>
      <c r="E363" s="98">
        <f>Utbyggingsinformasjon!G24</f>
        <v>0</v>
      </c>
      <c r="F363" s="524" t="s">
        <v>224</v>
      </c>
      <c r="G363" s="524"/>
      <c r="H363" s="525"/>
      <c r="I363" s="3"/>
      <c r="J363" s="3"/>
      <c r="K363" s="3"/>
      <c r="L363" s="3"/>
      <c r="M363" s="3"/>
      <c r="N363" s="17"/>
      <c r="O363" s="161"/>
    </row>
    <row r="364" spans="1:15" x14ac:dyDescent="0.2">
      <c r="A364" s="17"/>
      <c r="B364" s="3"/>
      <c r="C364" s="8" t="s">
        <v>159</v>
      </c>
      <c r="D364" s="140">
        <f>14%-D366*0.25</f>
        <v>0.10750000000000001</v>
      </c>
      <c r="E364" s="98">
        <f>Utbyggingsinformasjon!G25</f>
        <v>0</v>
      </c>
      <c r="F364" s="524" t="s">
        <v>225</v>
      </c>
      <c r="G364" s="524"/>
      <c r="H364" s="525"/>
      <c r="I364" s="3"/>
      <c r="J364" s="3"/>
      <c r="K364" s="3"/>
      <c r="L364" s="3"/>
      <c r="M364" s="3"/>
      <c r="N364" s="17"/>
      <c r="O364" s="161"/>
    </row>
    <row r="365" spans="1:15" x14ac:dyDescent="0.2">
      <c r="A365" s="17"/>
      <c r="B365" s="3"/>
      <c r="C365" s="8" t="s">
        <v>160</v>
      </c>
      <c r="D365" s="140">
        <f>10%-D366*0.25</f>
        <v>6.7500000000000004E-2</v>
      </c>
      <c r="E365" s="98">
        <f>Utbyggingsinformasjon!G26</f>
        <v>0</v>
      </c>
      <c r="F365" s="523" t="s">
        <v>226</v>
      </c>
      <c r="G365" s="524"/>
      <c r="H365" s="525"/>
      <c r="I365" s="3"/>
      <c r="J365" s="3"/>
      <c r="K365" s="3"/>
      <c r="L365" s="3"/>
      <c r="M365" s="3"/>
      <c r="N365" s="17"/>
      <c r="O365" s="161"/>
    </row>
    <row r="366" spans="1:15" x14ac:dyDescent="0.2">
      <c r="A366" s="17"/>
      <c r="B366" s="3"/>
      <c r="C366" s="8" t="str">
        <f>Utbyggingsinformasjon!E16</f>
        <v>Velg kollektivknutepunkt</v>
      </c>
      <c r="D366" s="140">
        <v>0.13</v>
      </c>
      <c r="E366" s="98">
        <f>Utbyggingsinformasjon!G16</f>
        <v>0</v>
      </c>
      <c r="F366" s="339" t="s">
        <v>356</v>
      </c>
      <c r="G366" s="286"/>
      <c r="H366" s="287"/>
      <c r="I366" s="337"/>
      <c r="J366" s="3"/>
      <c r="K366" s="3"/>
      <c r="L366" s="3"/>
      <c r="M366" s="3"/>
      <c r="N366" s="17"/>
      <c r="O366" s="161"/>
    </row>
    <row r="367" spans="1:15" x14ac:dyDescent="0.2">
      <c r="A367" s="17"/>
      <c r="B367" s="4"/>
      <c r="C367" s="4"/>
      <c r="D367" s="167" t="s">
        <v>243</v>
      </c>
      <c r="E367" s="438">
        <f>D361*E361+D362*E362+D363*E363+D364*E364+D365*E365</f>
        <v>0</v>
      </c>
      <c r="F367" s="3"/>
      <c r="G367" s="3"/>
      <c r="H367" s="3"/>
      <c r="I367" s="3"/>
      <c r="J367" s="3"/>
      <c r="K367" s="3"/>
      <c r="L367" s="3"/>
      <c r="M367" s="3"/>
      <c r="N367" s="17"/>
      <c r="O367" s="161"/>
    </row>
    <row r="368" spans="1:15" x14ac:dyDescent="0.2">
      <c r="A368" s="17"/>
      <c r="B368" s="3"/>
      <c r="C368" s="3"/>
      <c r="D368" s="3"/>
      <c r="E368" s="3"/>
      <c r="F368" s="3"/>
      <c r="G368" s="3"/>
      <c r="H368" s="3"/>
      <c r="I368" s="3"/>
      <c r="J368" s="3"/>
      <c r="K368" s="3"/>
      <c r="L368" s="3"/>
      <c r="M368" s="3"/>
      <c r="N368" s="17"/>
      <c r="O368" s="161"/>
    </row>
    <row r="369" spans="1:16" x14ac:dyDescent="0.2">
      <c r="A369" s="17"/>
      <c r="B369" s="17"/>
      <c r="C369" s="17"/>
      <c r="D369" s="17"/>
      <c r="E369" s="17"/>
      <c r="F369" s="17"/>
      <c r="G369" s="17"/>
      <c r="H369" s="17"/>
      <c r="I369" s="17"/>
      <c r="J369" s="17"/>
      <c r="K369" s="17"/>
      <c r="L369" s="17"/>
      <c r="M369" s="17"/>
      <c r="N369" s="17"/>
      <c r="O369" s="161"/>
    </row>
    <row r="370" spans="1:16" x14ac:dyDescent="0.2">
      <c r="A370" s="17"/>
      <c r="B370" s="3"/>
      <c r="C370" s="3"/>
      <c r="D370" s="3"/>
      <c r="E370" s="3"/>
      <c r="F370" s="3"/>
      <c r="G370" s="3"/>
      <c r="H370" s="3"/>
      <c r="I370" s="3"/>
      <c r="J370" s="3"/>
      <c r="K370" s="3"/>
      <c r="L370" s="3"/>
      <c r="M370" s="3"/>
      <c r="N370" s="17"/>
      <c r="O370" s="161"/>
    </row>
    <row r="371" spans="1:16" x14ac:dyDescent="0.2">
      <c r="A371" s="17"/>
      <c r="B371" s="3"/>
      <c r="C371" s="4" t="s">
        <v>235</v>
      </c>
      <c r="D371" s="3"/>
      <c r="E371" s="3"/>
      <c r="F371" s="3"/>
      <c r="G371" s="3"/>
      <c r="H371" s="3"/>
      <c r="I371" s="3"/>
      <c r="J371" s="3"/>
      <c r="K371" s="3"/>
      <c r="L371" s="3"/>
      <c r="M371" s="3"/>
      <c r="N371" s="17"/>
      <c r="O371" s="161"/>
    </row>
    <row r="372" spans="1:16" ht="27.75" customHeight="1" x14ac:dyDescent="0.2">
      <c r="A372" s="17"/>
      <c r="B372" s="3"/>
      <c r="C372" s="468" t="s">
        <v>277</v>
      </c>
      <c r="D372" s="468"/>
      <c r="E372" s="468"/>
      <c r="F372" s="468"/>
      <c r="G372" s="468"/>
      <c r="H372" s="468"/>
      <c r="I372" s="468"/>
      <c r="J372" s="468"/>
      <c r="K372" s="468"/>
      <c r="L372" s="3"/>
      <c r="M372" s="3"/>
      <c r="N372" s="17"/>
      <c r="O372" s="161"/>
      <c r="P372" s="161"/>
    </row>
    <row r="373" spans="1:16" x14ac:dyDescent="0.2">
      <c r="A373" s="17"/>
      <c r="B373" s="3"/>
      <c r="C373" s="4"/>
      <c r="D373" s="13"/>
      <c r="E373" s="3"/>
      <c r="F373" s="3"/>
      <c r="G373" s="3"/>
      <c r="H373" s="3"/>
      <c r="I373" s="3"/>
      <c r="J373" s="3"/>
      <c r="K373" s="3"/>
      <c r="L373" s="3"/>
      <c r="M373" s="3"/>
      <c r="N373" s="17"/>
      <c r="O373" s="161"/>
      <c r="P373" s="161"/>
    </row>
    <row r="374" spans="1:16" x14ac:dyDescent="0.2">
      <c r="A374" s="17"/>
      <c r="B374" s="3"/>
      <c r="C374" s="138" t="s">
        <v>143</v>
      </c>
      <c r="D374" s="145" t="s">
        <v>5</v>
      </c>
      <c r="E374" s="537" t="s">
        <v>178</v>
      </c>
      <c r="F374" s="537"/>
      <c r="G374" s="537"/>
      <c r="H374" s="537"/>
      <c r="I374" s="3"/>
      <c r="J374" s="3"/>
      <c r="K374" s="3"/>
      <c r="L374" s="3"/>
      <c r="M374" s="3"/>
      <c r="N374" s="17"/>
      <c r="P374" s="161"/>
    </row>
    <row r="375" spans="1:16" ht="12.75" customHeight="1" x14ac:dyDescent="0.2">
      <c r="A375" s="17"/>
      <c r="B375" s="3"/>
      <c r="C375" s="164" t="s">
        <v>185</v>
      </c>
      <c r="D375" s="165">
        <v>6</v>
      </c>
      <c r="E375" s="540" t="s">
        <v>189</v>
      </c>
      <c r="F375" s="540"/>
      <c r="G375" s="540"/>
      <c r="H375" s="540"/>
      <c r="I375" s="3"/>
      <c r="J375" s="3"/>
      <c r="K375" s="3"/>
      <c r="L375" s="3"/>
      <c r="M375" s="3"/>
      <c r="N375" s="17"/>
      <c r="P375" s="161"/>
    </row>
    <row r="376" spans="1:16" x14ac:dyDescent="0.2">
      <c r="A376" s="17"/>
      <c r="B376" s="3"/>
      <c r="C376" s="162" t="s">
        <v>186</v>
      </c>
      <c r="D376" s="427">
        <f>D375*52</f>
        <v>312</v>
      </c>
      <c r="E376" s="540"/>
      <c r="F376" s="540"/>
      <c r="G376" s="540"/>
      <c r="H376" s="540"/>
      <c r="I376" s="3"/>
      <c r="J376" s="3"/>
      <c r="K376" s="3"/>
      <c r="L376" s="3"/>
      <c r="M376" s="3"/>
      <c r="N376" s="17"/>
      <c r="P376" s="161"/>
    </row>
    <row r="377" spans="1:16" ht="12.75" customHeight="1" x14ac:dyDescent="0.2">
      <c r="A377" s="17"/>
      <c r="B377" s="3"/>
      <c r="C377" s="164" t="s">
        <v>187</v>
      </c>
      <c r="D377" s="165">
        <v>1</v>
      </c>
      <c r="E377" s="540" t="s">
        <v>200</v>
      </c>
      <c r="F377" s="540"/>
      <c r="G377" s="540"/>
      <c r="H377" s="540"/>
      <c r="I377" s="3"/>
      <c r="J377" s="3"/>
      <c r="K377" s="3"/>
      <c r="L377" s="3"/>
      <c r="M377" s="3"/>
      <c r="N377" s="17"/>
      <c r="P377" s="161"/>
    </row>
    <row r="378" spans="1:16" x14ac:dyDescent="0.2">
      <c r="A378" s="17"/>
      <c r="B378" s="3"/>
      <c r="C378" s="162" t="s">
        <v>188</v>
      </c>
      <c r="D378" s="427">
        <f>D377*52</f>
        <v>52</v>
      </c>
      <c r="E378" s="540"/>
      <c r="F378" s="540"/>
      <c r="G378" s="540"/>
      <c r="H378" s="540"/>
      <c r="I378" s="3"/>
      <c r="J378" s="3"/>
      <c r="K378" s="3"/>
      <c r="L378" s="3"/>
      <c r="M378" s="3"/>
      <c r="N378" s="17"/>
      <c r="P378" s="161"/>
    </row>
    <row r="379" spans="1:16" x14ac:dyDescent="0.2">
      <c r="A379" s="17"/>
      <c r="B379" s="3"/>
      <c r="C379" s="164" t="s">
        <v>195</v>
      </c>
      <c r="D379" s="165">
        <v>10</v>
      </c>
      <c r="E379" s="540" t="s">
        <v>201</v>
      </c>
      <c r="F379" s="540"/>
      <c r="G379" s="540"/>
      <c r="H379" s="540"/>
      <c r="I379" s="3"/>
      <c r="J379" s="3"/>
      <c r="K379" s="3"/>
      <c r="L379" s="3"/>
      <c r="M379" s="3"/>
      <c r="N379" s="17"/>
      <c r="P379" s="161"/>
    </row>
    <row r="380" spans="1:16" x14ac:dyDescent="0.2">
      <c r="A380" s="17"/>
      <c r="B380" s="3"/>
      <c r="C380" s="162" t="s">
        <v>196</v>
      </c>
      <c r="D380" s="427">
        <f>D379*38</f>
        <v>380</v>
      </c>
      <c r="E380" s="540"/>
      <c r="F380" s="540"/>
      <c r="G380" s="540"/>
      <c r="H380" s="540"/>
      <c r="I380" s="3"/>
      <c r="J380" s="3"/>
      <c r="K380" s="3"/>
      <c r="L380" s="3"/>
      <c r="M380" s="3"/>
      <c r="N380" s="17"/>
      <c r="P380" s="161"/>
    </row>
    <row r="381" spans="1:16" x14ac:dyDescent="0.2">
      <c r="A381" s="17"/>
      <c r="B381" s="3"/>
      <c r="C381" s="16"/>
      <c r="D381" s="3"/>
      <c r="E381" s="168"/>
      <c r="F381" s="168"/>
      <c r="G381" s="168"/>
      <c r="H381" s="168"/>
      <c r="I381" s="3"/>
      <c r="J381" s="3"/>
      <c r="K381" s="3"/>
      <c r="L381" s="3"/>
      <c r="M381" s="3"/>
      <c r="N381" s="17"/>
      <c r="P381" s="161"/>
    </row>
    <row r="382" spans="1:16" x14ac:dyDescent="0.2">
      <c r="A382" s="17"/>
      <c r="B382" s="3"/>
      <c r="C382" s="4"/>
      <c r="D382" s="3"/>
      <c r="E382" s="3"/>
      <c r="F382" s="3"/>
      <c r="G382" s="3"/>
      <c r="H382" s="3"/>
      <c r="I382" s="3"/>
      <c r="J382" s="3"/>
      <c r="K382" s="3"/>
      <c r="L382" s="3"/>
      <c r="M382" s="3"/>
      <c r="N382" s="17"/>
      <c r="P382" s="161"/>
    </row>
    <row r="383" spans="1:16" x14ac:dyDescent="0.2">
      <c r="A383" s="17"/>
      <c r="B383" s="17"/>
      <c r="C383" s="17"/>
      <c r="D383" s="17"/>
      <c r="E383" s="17"/>
      <c r="F383" s="17"/>
      <c r="G383" s="17"/>
      <c r="H383" s="17"/>
      <c r="I383" s="17"/>
      <c r="J383" s="17"/>
      <c r="K383" s="17"/>
      <c r="L383" s="17"/>
      <c r="M383" s="17"/>
      <c r="N383" s="17"/>
      <c r="P383" s="161"/>
    </row>
    <row r="384" spans="1:16" x14ac:dyDescent="0.2">
      <c r="A384" s="17"/>
      <c r="B384" s="3"/>
      <c r="C384" s="3"/>
      <c r="D384" s="3"/>
      <c r="E384" s="3"/>
      <c r="F384" s="3"/>
      <c r="G384" s="3"/>
      <c r="H384" s="3"/>
      <c r="I384" s="3"/>
      <c r="J384" s="3"/>
      <c r="K384" s="3"/>
      <c r="L384" s="3"/>
      <c r="M384" s="3"/>
      <c r="N384" s="17"/>
      <c r="P384" s="161"/>
    </row>
    <row r="385" spans="1:16" x14ac:dyDescent="0.2">
      <c r="A385" s="17"/>
      <c r="B385" s="3"/>
      <c r="C385" s="4" t="s">
        <v>236</v>
      </c>
      <c r="D385" s="3"/>
      <c r="E385" s="3"/>
      <c r="F385" s="3"/>
      <c r="G385" s="3"/>
      <c r="H385" s="3"/>
      <c r="I385" s="3"/>
      <c r="J385" s="3"/>
      <c r="K385" s="3"/>
      <c r="L385" s="3"/>
      <c r="M385" s="3"/>
      <c r="N385" s="17"/>
      <c r="P385" s="161"/>
    </row>
    <row r="386" spans="1:16" ht="27" customHeight="1" x14ac:dyDescent="0.2">
      <c r="A386" s="17"/>
      <c r="B386" s="3"/>
      <c r="C386" s="468" t="s">
        <v>278</v>
      </c>
      <c r="D386" s="468"/>
      <c r="E386" s="468"/>
      <c r="F386" s="468"/>
      <c r="G386" s="468"/>
      <c r="H386" s="468"/>
      <c r="I386" s="468"/>
      <c r="J386" s="468"/>
      <c r="K386" s="468"/>
      <c r="L386" s="3"/>
      <c r="M386" s="3"/>
      <c r="N386" s="17"/>
      <c r="P386" s="161"/>
    </row>
    <row r="387" spans="1:16" x14ac:dyDescent="0.2">
      <c r="A387" s="17"/>
      <c r="B387" s="3"/>
      <c r="C387" s="538" t="s">
        <v>169</v>
      </c>
      <c r="D387" s="539"/>
      <c r="E387" s="13"/>
      <c r="F387" s="3"/>
      <c r="G387" s="3"/>
      <c r="H387" s="3"/>
      <c r="I387" s="3"/>
      <c r="J387" s="3"/>
      <c r="K387" s="3"/>
      <c r="L387" s="3"/>
      <c r="M387" s="3"/>
      <c r="N387" s="17"/>
      <c r="P387" s="161"/>
    </row>
    <row r="388" spans="1:16" x14ac:dyDescent="0.2">
      <c r="A388" s="17"/>
      <c r="B388" s="3"/>
      <c r="C388" s="8" t="s">
        <v>245</v>
      </c>
      <c r="D388" s="98">
        <f>SUM(Utbyggingsinformasjon!E36:E43)*E11</f>
        <v>0</v>
      </c>
      <c r="E388" s="13"/>
      <c r="F388" s="3"/>
      <c r="G388" s="3"/>
      <c r="H388" s="3"/>
      <c r="I388" s="3"/>
      <c r="J388" s="3"/>
      <c r="K388" s="3"/>
      <c r="L388" s="3"/>
      <c r="M388" s="3"/>
      <c r="N388" s="17"/>
      <c r="P388" s="161"/>
    </row>
    <row r="389" spans="1:16" x14ac:dyDescent="0.2">
      <c r="A389" s="17"/>
      <c r="B389" s="3"/>
      <c r="C389" s="164" t="s">
        <v>246</v>
      </c>
      <c r="D389" s="428">
        <f>D351</f>
        <v>460</v>
      </c>
      <c r="E389" s="13"/>
      <c r="F389" s="3"/>
      <c r="G389" s="3"/>
      <c r="H389" s="3"/>
      <c r="I389" s="3"/>
      <c r="J389" s="3"/>
      <c r="K389" s="3"/>
      <c r="L389" s="3"/>
      <c r="M389" s="3"/>
      <c r="N389" s="17"/>
      <c r="P389" s="161"/>
    </row>
    <row r="390" spans="1:16" x14ac:dyDescent="0.2">
      <c r="A390" s="17"/>
      <c r="B390" s="3"/>
      <c r="C390" s="162" t="s">
        <v>397</v>
      </c>
      <c r="D390" s="429">
        <f>E367</f>
        <v>0</v>
      </c>
      <c r="E390" s="13"/>
      <c r="F390" s="3"/>
      <c r="G390" s="3"/>
      <c r="H390" s="3"/>
      <c r="I390" s="3"/>
      <c r="J390" s="3"/>
      <c r="K390" s="3"/>
      <c r="L390" s="3"/>
      <c r="M390" s="3"/>
      <c r="N390" s="17"/>
      <c r="P390" s="161"/>
    </row>
    <row r="391" spans="1:16" x14ac:dyDescent="0.2">
      <c r="A391" s="17"/>
      <c r="B391" s="3"/>
      <c r="C391" s="8" t="s">
        <v>247</v>
      </c>
      <c r="D391" s="192">
        <f>D390*D388*D389</f>
        <v>0</v>
      </c>
      <c r="E391" s="3"/>
      <c r="F391" s="3"/>
      <c r="G391" s="3"/>
      <c r="H391" s="3"/>
      <c r="I391" s="3"/>
      <c r="J391" s="3"/>
      <c r="K391" s="3"/>
      <c r="L391" s="3"/>
      <c r="M391" s="3"/>
      <c r="N391" s="17"/>
      <c r="P391" s="161"/>
    </row>
    <row r="392" spans="1:16" x14ac:dyDescent="0.2">
      <c r="A392" s="17"/>
      <c r="B392" s="3"/>
      <c r="C392" s="4"/>
      <c r="D392" s="3"/>
      <c r="E392" s="3"/>
      <c r="F392" s="3"/>
      <c r="G392" s="3"/>
      <c r="H392" s="3"/>
      <c r="I392" s="3"/>
      <c r="J392" s="3"/>
      <c r="K392" s="3"/>
      <c r="L392" s="3"/>
      <c r="M392" s="3"/>
      <c r="N392" s="17"/>
    </row>
    <row r="393" spans="1:16" x14ac:dyDescent="0.2">
      <c r="A393" s="17"/>
      <c r="B393" s="3"/>
      <c r="C393" s="538" t="s">
        <v>203</v>
      </c>
      <c r="D393" s="539"/>
      <c r="E393" s="3"/>
      <c r="F393" s="3"/>
      <c r="G393" s="3"/>
      <c r="H393" s="3"/>
      <c r="I393" s="3"/>
      <c r="J393" s="3"/>
      <c r="K393" s="3"/>
      <c r="L393" s="3"/>
      <c r="M393" s="3"/>
      <c r="N393" s="17"/>
    </row>
    <row r="394" spans="1:16" x14ac:dyDescent="0.2">
      <c r="A394" s="17"/>
      <c r="B394" s="3"/>
      <c r="C394" s="8" t="s">
        <v>190</v>
      </c>
      <c r="D394" s="371">
        <f>SUM(Utbyggingsinformasjon!E36:E43)</f>
        <v>0</v>
      </c>
      <c r="E394" s="3"/>
      <c r="F394" s="3"/>
      <c r="G394" s="3"/>
      <c r="H394" s="3"/>
      <c r="I394" s="3"/>
      <c r="J394" s="3"/>
      <c r="K394" s="3"/>
      <c r="L394" s="3"/>
      <c r="M394" s="3"/>
      <c r="N394" s="17"/>
      <c r="P394" s="161"/>
    </row>
    <row r="395" spans="1:16" x14ac:dyDescent="0.2">
      <c r="A395" s="17"/>
      <c r="B395" s="3"/>
      <c r="C395" s="164" t="s">
        <v>191</v>
      </c>
      <c r="D395" s="430">
        <f>D376</f>
        <v>312</v>
      </c>
      <c r="E395" s="3"/>
      <c r="F395" s="3"/>
      <c r="G395" s="3"/>
      <c r="H395" s="3"/>
      <c r="I395" s="3"/>
      <c r="J395" s="3"/>
      <c r="K395" s="3"/>
      <c r="L395" s="3"/>
      <c r="M395" s="3"/>
      <c r="N395" s="17"/>
      <c r="P395" s="161"/>
    </row>
    <row r="396" spans="1:16" x14ac:dyDescent="0.2">
      <c r="A396" s="17"/>
      <c r="B396" s="3"/>
      <c r="C396" s="162" t="s">
        <v>193</v>
      </c>
      <c r="D396" s="429">
        <f>Utbyggingsinformasjon!G18</f>
        <v>0</v>
      </c>
      <c r="E396" s="3"/>
      <c r="F396" s="3"/>
      <c r="G396" s="3"/>
      <c r="H396" s="3"/>
      <c r="I396" s="3"/>
      <c r="J396" s="3"/>
      <c r="K396" s="3"/>
      <c r="L396" s="3"/>
      <c r="M396" s="3"/>
      <c r="N396" s="17"/>
      <c r="P396" s="161"/>
    </row>
    <row r="397" spans="1:16" x14ac:dyDescent="0.2">
      <c r="A397" s="17"/>
      <c r="B397" s="3"/>
      <c r="C397" s="164" t="s">
        <v>192</v>
      </c>
      <c r="D397" s="430">
        <f>D378</f>
        <v>52</v>
      </c>
      <c r="E397" s="3"/>
      <c r="F397" s="3"/>
      <c r="G397" s="3"/>
      <c r="H397" s="3"/>
      <c r="I397" s="3"/>
      <c r="J397" s="3"/>
      <c r="K397" s="3"/>
      <c r="L397" s="3"/>
      <c r="M397" s="3"/>
      <c r="N397" s="17"/>
      <c r="P397" s="161"/>
    </row>
    <row r="398" spans="1:16" x14ac:dyDescent="0.2">
      <c r="A398" s="17"/>
      <c r="B398" s="3"/>
      <c r="C398" s="162" t="s">
        <v>194</v>
      </c>
      <c r="D398" s="429">
        <f>Utbyggingsinformasjon!G17</f>
        <v>0</v>
      </c>
      <c r="E398" s="3"/>
      <c r="F398" s="3"/>
      <c r="G398" s="3"/>
      <c r="H398" s="3"/>
      <c r="I398" s="3"/>
      <c r="J398" s="3"/>
      <c r="K398" s="3"/>
      <c r="L398" s="3"/>
      <c r="M398" s="3"/>
      <c r="N398" s="17"/>
      <c r="P398" s="161"/>
    </row>
    <row r="399" spans="1:16" x14ac:dyDescent="0.2">
      <c r="A399" s="17"/>
      <c r="B399" s="3"/>
      <c r="C399" s="8" t="s">
        <v>247</v>
      </c>
      <c r="D399" s="192">
        <f>D394*(D395*D396+D397*D398)</f>
        <v>0</v>
      </c>
      <c r="E399" s="3"/>
      <c r="F399" s="3"/>
      <c r="G399" s="3"/>
      <c r="H399" s="3"/>
      <c r="I399" s="3"/>
      <c r="J399" s="3"/>
      <c r="K399" s="3"/>
      <c r="L399" s="3"/>
      <c r="M399" s="3"/>
      <c r="N399" s="17"/>
      <c r="P399" s="161"/>
    </row>
    <row r="400" spans="1:16" x14ac:dyDescent="0.2">
      <c r="A400" s="17"/>
      <c r="B400" s="3"/>
      <c r="C400" s="16"/>
      <c r="D400" s="3"/>
      <c r="E400" s="3"/>
      <c r="F400" s="3"/>
      <c r="G400" s="3"/>
      <c r="H400" s="3"/>
      <c r="I400" s="3"/>
      <c r="J400" s="3"/>
      <c r="K400" s="3"/>
      <c r="L400" s="3"/>
      <c r="M400" s="3"/>
      <c r="N400" s="17"/>
      <c r="P400" s="161"/>
    </row>
    <row r="401" spans="1:16" x14ac:dyDescent="0.2">
      <c r="A401" s="17"/>
      <c r="B401" s="3"/>
      <c r="C401" s="538" t="s">
        <v>204</v>
      </c>
      <c r="D401" s="539"/>
      <c r="E401" s="3"/>
      <c r="F401" s="3"/>
      <c r="G401" s="3"/>
      <c r="H401" s="3"/>
      <c r="I401" s="3"/>
      <c r="J401" s="3"/>
      <c r="K401" s="3"/>
      <c r="L401" s="3"/>
      <c r="M401" s="3"/>
      <c r="N401" s="17"/>
      <c r="P401" s="161"/>
    </row>
    <row r="402" spans="1:16" x14ac:dyDescent="0.2">
      <c r="A402" s="17"/>
      <c r="B402" s="3"/>
      <c r="C402" s="8" t="s">
        <v>197</v>
      </c>
      <c r="D402" s="98">
        <f>E12*SUM(Utbyggingsinformasjon!E36:E43)</f>
        <v>0</v>
      </c>
      <c r="E402" s="13"/>
      <c r="F402" s="3"/>
      <c r="G402" s="3"/>
      <c r="H402" s="3"/>
      <c r="I402" s="3"/>
      <c r="J402" s="3"/>
      <c r="K402" s="3"/>
      <c r="L402" s="3"/>
      <c r="M402" s="3"/>
      <c r="N402" s="17"/>
      <c r="P402" s="161"/>
    </row>
    <row r="403" spans="1:16" x14ac:dyDescent="0.2">
      <c r="A403" s="17"/>
      <c r="B403" s="3"/>
      <c r="C403" s="164" t="s">
        <v>198</v>
      </c>
      <c r="D403" s="430">
        <f>D380</f>
        <v>380</v>
      </c>
      <c r="E403" s="3"/>
      <c r="F403" s="3"/>
      <c r="G403" s="3"/>
      <c r="H403" s="3"/>
      <c r="I403" s="3"/>
      <c r="J403" s="3"/>
      <c r="K403" s="3"/>
      <c r="L403" s="3"/>
      <c r="M403" s="3"/>
      <c r="N403" s="17"/>
      <c r="P403" s="161"/>
    </row>
    <row r="404" spans="1:16" x14ac:dyDescent="0.2">
      <c r="A404" s="17"/>
      <c r="B404" s="3"/>
      <c r="C404" s="162" t="s">
        <v>199</v>
      </c>
      <c r="D404" s="429">
        <f>Utbyggingsinformasjon!G19</f>
        <v>0</v>
      </c>
      <c r="E404" s="3"/>
      <c r="F404" s="3"/>
      <c r="G404" s="3"/>
      <c r="H404" s="3"/>
      <c r="I404" s="3"/>
      <c r="J404" s="3"/>
      <c r="K404" s="3"/>
      <c r="L404" s="3"/>
      <c r="M404" s="3"/>
      <c r="N404" s="17"/>
      <c r="P404" s="161"/>
    </row>
    <row r="405" spans="1:16" x14ac:dyDescent="0.2">
      <c r="A405" s="17"/>
      <c r="B405" s="3"/>
      <c r="C405" s="8" t="s">
        <v>247</v>
      </c>
      <c r="D405" s="192">
        <f>D402*D403*D404</f>
        <v>0</v>
      </c>
      <c r="E405" s="3"/>
      <c r="F405" s="3"/>
      <c r="G405" s="3"/>
      <c r="H405" s="3"/>
      <c r="I405" s="3"/>
      <c r="J405" s="3"/>
      <c r="K405" s="3"/>
      <c r="L405" s="3"/>
      <c r="M405" s="3"/>
      <c r="N405" s="17"/>
      <c r="O405" s="161"/>
      <c r="P405" s="161"/>
    </row>
    <row r="406" spans="1:16" x14ac:dyDescent="0.2">
      <c r="A406" s="17"/>
      <c r="B406" s="3"/>
      <c r="C406" s="3"/>
      <c r="D406" s="3"/>
      <c r="E406" s="3"/>
      <c r="F406" s="3"/>
      <c r="G406" s="3"/>
      <c r="H406" s="3"/>
      <c r="I406" s="3"/>
      <c r="J406" s="3"/>
      <c r="K406" s="3"/>
      <c r="L406" s="3"/>
      <c r="M406" s="3"/>
      <c r="N406" s="17"/>
      <c r="O406" s="161"/>
      <c r="P406" s="161"/>
    </row>
    <row r="407" spans="1:16" x14ac:dyDescent="0.2">
      <c r="A407" s="17"/>
      <c r="B407" s="17"/>
      <c r="C407" s="17"/>
      <c r="D407" s="17"/>
      <c r="E407" s="17"/>
      <c r="F407" s="17"/>
      <c r="G407" s="17"/>
      <c r="H407" s="17"/>
      <c r="I407" s="17"/>
      <c r="J407" s="17"/>
      <c r="K407" s="17"/>
      <c r="L407" s="17"/>
      <c r="M407" s="17"/>
      <c r="N407" s="17"/>
      <c r="P407" s="161"/>
    </row>
    <row r="408" spans="1:16" x14ac:dyDescent="0.2">
      <c r="A408" s="17"/>
      <c r="B408" s="3"/>
      <c r="C408" s="3"/>
      <c r="D408" s="3"/>
      <c r="E408" s="3"/>
      <c r="F408" s="3"/>
      <c r="G408" s="3"/>
      <c r="H408" s="3"/>
      <c r="I408" s="3"/>
      <c r="J408" s="3"/>
      <c r="K408" s="3"/>
      <c r="L408" s="3"/>
      <c r="M408" s="3"/>
      <c r="N408" s="17"/>
      <c r="P408" s="161"/>
    </row>
    <row r="409" spans="1:16" x14ac:dyDescent="0.2">
      <c r="A409" s="17"/>
      <c r="B409" s="3"/>
      <c r="C409" s="4" t="s">
        <v>237</v>
      </c>
      <c r="D409" s="3"/>
      <c r="E409" s="3"/>
      <c r="F409" s="3"/>
      <c r="G409" s="3"/>
      <c r="H409" s="3"/>
      <c r="I409" s="3"/>
      <c r="J409" s="3"/>
      <c r="K409" s="3"/>
      <c r="L409" s="3"/>
      <c r="M409" s="3"/>
      <c r="N409" s="17"/>
      <c r="P409" s="161"/>
    </row>
    <row r="410" spans="1:16" ht="27" customHeight="1" x14ac:dyDescent="0.2">
      <c r="A410" s="17"/>
      <c r="B410" s="3"/>
      <c r="C410" s="468" t="s">
        <v>282</v>
      </c>
      <c r="D410" s="468"/>
      <c r="E410" s="468"/>
      <c r="F410" s="468"/>
      <c r="G410" s="468"/>
      <c r="H410" s="468"/>
      <c r="I410" s="468"/>
      <c r="J410" s="468"/>
      <c r="K410" s="468"/>
      <c r="L410" s="3"/>
      <c r="M410" s="3"/>
      <c r="N410" s="17"/>
      <c r="P410" s="161"/>
    </row>
    <row r="411" spans="1:16" x14ac:dyDescent="0.2">
      <c r="A411" s="17"/>
      <c r="B411" s="3"/>
      <c r="C411" s="4"/>
      <c r="D411" s="3"/>
      <c r="E411" s="3"/>
      <c r="F411" s="3"/>
      <c r="G411" s="3"/>
      <c r="H411" s="13"/>
      <c r="I411" s="3"/>
      <c r="J411" s="3"/>
      <c r="K411" s="3"/>
      <c r="L411" s="3"/>
      <c r="M411" s="3"/>
      <c r="N411" s="17"/>
      <c r="P411" s="161"/>
    </row>
    <row r="412" spans="1:16" ht="38.25" x14ac:dyDescent="0.2">
      <c r="A412" s="17"/>
      <c r="B412" s="3"/>
      <c r="C412" s="123" t="s">
        <v>209</v>
      </c>
      <c r="D412" s="117" t="s">
        <v>279</v>
      </c>
      <c r="E412" s="194" t="s">
        <v>244</v>
      </c>
      <c r="F412" s="149" t="s">
        <v>206</v>
      </c>
      <c r="G412" s="117" t="s">
        <v>280</v>
      </c>
      <c r="H412" s="117" t="s">
        <v>207</v>
      </c>
      <c r="I412" s="117" t="s">
        <v>281</v>
      </c>
      <c r="J412" s="117" t="s">
        <v>208</v>
      </c>
      <c r="K412" s="3"/>
      <c r="L412" s="3"/>
      <c r="M412" s="3"/>
      <c r="N412" s="17"/>
      <c r="P412" s="161"/>
    </row>
    <row r="413" spans="1:16" x14ac:dyDescent="0.2">
      <c r="A413" s="17"/>
      <c r="B413" s="3"/>
      <c r="C413" s="8" t="s">
        <v>169</v>
      </c>
      <c r="D413" s="529" t="str">
        <f>Utbyggingsinformasjon!G15</f>
        <v>Velg avstand</v>
      </c>
      <c r="E413" s="394" t="e">
        <f>VLOOKUP(Utbyggingsinformasjon!G15,'Forutsetninger og beregninger'!C325:D327,2,FALSE)</f>
        <v>#N/A</v>
      </c>
      <c r="F413" s="118">
        <f>D391</f>
        <v>0</v>
      </c>
      <c r="G413" s="532">
        <f>D316</f>
        <v>187.36</v>
      </c>
      <c r="H413" s="98" t="e">
        <f>E413*F413*$G$413/10^6</f>
        <v>#N/A</v>
      </c>
      <c r="I413" s="532">
        <f>E316</f>
        <v>201.8</v>
      </c>
      <c r="J413" s="98" t="e">
        <f>E413*F413*$I$413/10^6</f>
        <v>#N/A</v>
      </c>
      <c r="K413" s="3"/>
      <c r="L413" s="3"/>
      <c r="M413" s="3"/>
      <c r="N413" s="17"/>
      <c r="O413" s="2"/>
      <c r="P413" s="161"/>
    </row>
    <row r="414" spans="1:16" x14ac:dyDescent="0.2">
      <c r="A414" s="17"/>
      <c r="B414" s="3"/>
      <c r="C414" s="8" t="s">
        <v>203</v>
      </c>
      <c r="D414" s="530"/>
      <c r="E414" s="394" t="e">
        <f>VLOOKUP(Utbyggingsinformasjon!G15,'Forutsetninger og beregninger'!C325:F327,4,FALSE)</f>
        <v>#N/A</v>
      </c>
      <c r="F414" s="118">
        <f>D399</f>
        <v>0</v>
      </c>
      <c r="G414" s="533"/>
      <c r="H414" s="98" t="e">
        <f>E414*F414*$G$413/10^6</f>
        <v>#N/A</v>
      </c>
      <c r="I414" s="533"/>
      <c r="J414" s="98" t="e">
        <f>E414*F414*$I$413/10^6</f>
        <v>#N/A</v>
      </c>
      <c r="K414" s="3"/>
      <c r="L414" s="3"/>
      <c r="M414" s="3"/>
      <c r="N414" s="17"/>
      <c r="O414" s="166"/>
      <c r="P414" s="161"/>
    </row>
    <row r="415" spans="1:16" x14ac:dyDescent="0.2">
      <c r="A415" s="17"/>
      <c r="B415" s="3"/>
      <c r="C415" s="8" t="s">
        <v>204</v>
      </c>
      <c r="D415" s="531"/>
      <c r="E415" s="394" t="e">
        <f>VLOOKUP(Utbyggingsinformasjon!G15,'Forutsetninger og beregninger'!C325:H327,6,FALSE)</f>
        <v>#N/A</v>
      </c>
      <c r="F415" s="118">
        <f>D405</f>
        <v>0</v>
      </c>
      <c r="G415" s="534"/>
      <c r="H415" s="98" t="e">
        <f>E415*F415*$G$413/10^6</f>
        <v>#N/A</v>
      </c>
      <c r="I415" s="534"/>
      <c r="J415" s="98" t="e">
        <f>E415*F415*$I$413/10^6</f>
        <v>#N/A</v>
      </c>
      <c r="K415" s="3"/>
      <c r="L415" s="3"/>
      <c r="M415" s="3"/>
      <c r="N415" s="17"/>
      <c r="P415" s="161"/>
    </row>
    <row r="416" spans="1:16" x14ac:dyDescent="0.2">
      <c r="A416" s="17"/>
      <c r="B416" s="3"/>
      <c r="C416" s="3"/>
      <c r="D416" s="3"/>
      <c r="E416" s="3"/>
      <c r="F416" s="3"/>
      <c r="G416" s="196" t="s">
        <v>228</v>
      </c>
      <c r="H416" s="436" t="e">
        <f>SUM(H413:H415)</f>
        <v>#N/A</v>
      </c>
      <c r="I416" s="196" t="s">
        <v>228</v>
      </c>
      <c r="J416" s="436" t="e">
        <f>SUM(J413:J415)</f>
        <v>#N/A</v>
      </c>
      <c r="K416" s="3"/>
      <c r="L416" s="3"/>
      <c r="M416" s="3"/>
      <c r="N416" s="17"/>
      <c r="P416" s="161"/>
    </row>
    <row r="417" spans="1:14" x14ac:dyDescent="0.2">
      <c r="A417" s="17"/>
      <c r="B417" s="3"/>
      <c r="C417" s="4"/>
      <c r="D417" s="3"/>
      <c r="E417" s="3"/>
      <c r="F417" s="3"/>
      <c r="G417" s="196" t="s">
        <v>242</v>
      </c>
      <c r="H417" s="436" t="e">
        <f>H416*60</f>
        <v>#N/A</v>
      </c>
      <c r="I417" s="196" t="s">
        <v>242</v>
      </c>
      <c r="J417" s="436" t="e">
        <f>J416*60</f>
        <v>#N/A</v>
      </c>
      <c r="K417" s="3"/>
      <c r="L417" s="3"/>
      <c r="M417" s="3"/>
      <c r="N417" s="17"/>
    </row>
    <row r="418" spans="1:14" x14ac:dyDescent="0.2">
      <c r="A418" s="17"/>
      <c r="B418" s="3"/>
      <c r="C418" s="4"/>
      <c r="D418" s="3"/>
      <c r="E418" s="3"/>
      <c r="F418" s="3"/>
      <c r="G418" s="3"/>
      <c r="H418" s="3"/>
      <c r="I418" s="3"/>
      <c r="J418" s="3"/>
      <c r="K418" s="3"/>
      <c r="L418" s="3"/>
      <c r="M418" s="3"/>
      <c r="N418" s="17"/>
    </row>
    <row r="419" spans="1:14" x14ac:dyDescent="0.2">
      <c r="A419" s="17"/>
      <c r="B419" s="17"/>
      <c r="C419" s="17"/>
      <c r="D419" s="17"/>
      <c r="E419" s="17"/>
      <c r="F419" s="17"/>
      <c r="G419" s="17"/>
      <c r="H419" s="17"/>
      <c r="I419" s="17"/>
      <c r="J419" s="17"/>
      <c r="K419" s="17"/>
      <c r="L419" s="17"/>
      <c r="M419" s="17"/>
      <c r="N419" s="17"/>
    </row>
    <row r="420" spans="1:14" x14ac:dyDescent="0.2">
      <c r="A420" s="17"/>
      <c r="B420" s="3"/>
      <c r="C420" s="4"/>
      <c r="D420" s="3"/>
      <c r="E420" s="3"/>
      <c r="F420" s="3"/>
      <c r="G420" s="3"/>
      <c r="H420" s="3"/>
      <c r="I420" s="3"/>
      <c r="J420" s="3"/>
      <c r="K420" s="3"/>
      <c r="L420" s="3"/>
      <c r="M420" s="3"/>
      <c r="N420" s="17"/>
    </row>
    <row r="421" spans="1:14" x14ac:dyDescent="0.2">
      <c r="A421" s="17"/>
      <c r="B421" s="3"/>
      <c r="C421" s="4" t="s">
        <v>284</v>
      </c>
      <c r="D421" s="3"/>
      <c r="E421" s="3"/>
      <c r="F421" s="3"/>
      <c r="G421" s="3"/>
      <c r="H421" s="3"/>
      <c r="I421" s="3"/>
      <c r="J421" s="3"/>
      <c r="K421" s="3"/>
      <c r="L421" s="3"/>
      <c r="M421" s="3"/>
      <c r="N421" s="17"/>
    </row>
    <row r="422" spans="1:14" x14ac:dyDescent="0.2">
      <c r="A422" s="17"/>
      <c r="B422" s="3"/>
      <c r="C422" s="477" t="s">
        <v>424</v>
      </c>
      <c r="D422" s="477"/>
      <c r="E422" s="477"/>
      <c r="F422" s="477"/>
      <c r="G422" s="477"/>
      <c r="H422" s="477"/>
      <c r="I422" s="477"/>
      <c r="J422" s="477"/>
      <c r="K422" s="477"/>
      <c r="L422" s="3"/>
      <c r="M422" s="3"/>
      <c r="N422" s="17"/>
    </row>
    <row r="423" spans="1:14" x14ac:dyDescent="0.2">
      <c r="A423" s="17"/>
      <c r="B423" s="3"/>
      <c r="C423" s="4"/>
      <c r="D423" s="3"/>
      <c r="E423" s="3"/>
      <c r="F423" s="3"/>
      <c r="G423" s="3"/>
      <c r="H423" s="3"/>
      <c r="I423" s="3"/>
      <c r="J423" s="13"/>
      <c r="K423" s="3"/>
      <c r="L423" s="3"/>
      <c r="M423" s="3"/>
      <c r="N423" s="17"/>
    </row>
    <row r="424" spans="1:14" ht="38.25" x14ac:dyDescent="0.2">
      <c r="A424" s="17"/>
      <c r="B424" s="3"/>
      <c r="C424" s="123" t="s">
        <v>209</v>
      </c>
      <c r="D424" s="123" t="s">
        <v>286</v>
      </c>
      <c r="E424" s="194" t="s">
        <v>289</v>
      </c>
      <c r="F424" s="117" t="s">
        <v>285</v>
      </c>
      <c r="G424" s="194" t="s">
        <v>290</v>
      </c>
      <c r="H424" s="244" t="s">
        <v>206</v>
      </c>
      <c r="I424" s="117" t="s">
        <v>280</v>
      </c>
      <c r="J424" s="117" t="s">
        <v>207</v>
      </c>
      <c r="K424" s="117" t="s">
        <v>281</v>
      </c>
      <c r="L424" s="117" t="s">
        <v>208</v>
      </c>
      <c r="M424" s="3"/>
      <c r="N424" s="17"/>
    </row>
    <row r="425" spans="1:14" x14ac:dyDescent="0.2">
      <c r="A425" s="17"/>
      <c r="B425" s="3"/>
      <c r="C425" s="8" t="s">
        <v>169</v>
      </c>
      <c r="D425" s="592" t="str">
        <f>Utbyggingsinformasjon!M127</f>
        <v>Nei (default)</v>
      </c>
      <c r="E425" s="394" t="e">
        <f>IF(D425="Ja",E413-0.02,E413)</f>
        <v>#N/A</v>
      </c>
      <c r="F425" s="592" t="str">
        <f>Utbyggingsinformasjon!M134</f>
        <v>Nei (default)</v>
      </c>
      <c r="G425" s="394" t="e">
        <f>IF(F425="Ja",E425-0.02,E425)</f>
        <v>#N/A</v>
      </c>
      <c r="H425" s="118">
        <f>D391</f>
        <v>0</v>
      </c>
      <c r="I425" s="532">
        <f>D316</f>
        <v>187.36</v>
      </c>
      <c r="J425" s="98" t="e">
        <f>G425*H425*$G$413/10^6</f>
        <v>#N/A</v>
      </c>
      <c r="K425" s="532">
        <f>E316</f>
        <v>201.8</v>
      </c>
      <c r="L425" s="98" t="e">
        <f>G425*H425*$I$413/10^6</f>
        <v>#N/A</v>
      </c>
      <c r="M425" s="3"/>
      <c r="N425" s="17"/>
    </row>
    <row r="426" spans="1:14" x14ac:dyDescent="0.2">
      <c r="A426" s="17"/>
      <c r="B426" s="3"/>
      <c r="C426" s="8" t="s">
        <v>203</v>
      </c>
      <c r="D426" s="593"/>
      <c r="E426" s="394" t="e">
        <f>IF(D425="Ja",E414-0.02,E414)</f>
        <v>#N/A</v>
      </c>
      <c r="F426" s="593"/>
      <c r="G426" s="394" t="e">
        <f>IF(F425="Ja",E426-0.02,E426)</f>
        <v>#N/A</v>
      </c>
      <c r="H426" s="118">
        <f>D399</f>
        <v>0</v>
      </c>
      <c r="I426" s="533"/>
      <c r="J426" s="98" t="e">
        <f>G426*H426*$G$413/10^6</f>
        <v>#N/A</v>
      </c>
      <c r="K426" s="533"/>
      <c r="L426" s="98" t="e">
        <f t="shared" ref="L426:L427" si="16">G426*H426*$I$413/10^6</f>
        <v>#N/A</v>
      </c>
      <c r="M426" s="3"/>
      <c r="N426" s="17"/>
    </row>
    <row r="427" spans="1:14" x14ac:dyDescent="0.2">
      <c r="A427" s="17"/>
      <c r="B427" s="3"/>
      <c r="C427" s="8" t="s">
        <v>204</v>
      </c>
      <c r="D427" s="594"/>
      <c r="E427" s="394" t="e">
        <f>IF(D425="Ja",E415-0.02,E415)</f>
        <v>#N/A</v>
      </c>
      <c r="F427" s="594"/>
      <c r="G427" s="394" t="e">
        <f>IF(F425="Ja",E427-0.02,E427)</f>
        <v>#N/A</v>
      </c>
      <c r="H427" s="118">
        <f>D405</f>
        <v>0</v>
      </c>
      <c r="I427" s="534"/>
      <c r="J427" s="98" t="e">
        <f t="shared" ref="J427" si="17">G427*H427*$G$413/10^6</f>
        <v>#N/A</v>
      </c>
      <c r="K427" s="534"/>
      <c r="L427" s="98" t="e">
        <f t="shared" si="16"/>
        <v>#N/A</v>
      </c>
      <c r="M427" s="3"/>
      <c r="N427" s="17"/>
    </row>
    <row r="428" spans="1:14" x14ac:dyDescent="0.2">
      <c r="A428" s="17"/>
      <c r="B428" s="3"/>
      <c r="C428" s="3"/>
      <c r="D428" s="3"/>
      <c r="E428" s="3"/>
      <c r="F428" s="3"/>
      <c r="G428" s="3"/>
      <c r="H428" s="3"/>
      <c r="I428" s="196" t="s">
        <v>228</v>
      </c>
      <c r="J428" s="436" t="e">
        <f>SUM(J425:J427)</f>
        <v>#N/A</v>
      </c>
      <c r="K428" s="196" t="s">
        <v>228</v>
      </c>
      <c r="L428" s="436" t="e">
        <f>SUM(L425:L427)</f>
        <v>#N/A</v>
      </c>
      <c r="M428" s="3"/>
      <c r="N428" s="17"/>
    </row>
    <row r="429" spans="1:14" x14ac:dyDescent="0.2">
      <c r="A429" s="17"/>
      <c r="B429" s="3"/>
      <c r="C429" s="4"/>
      <c r="D429" s="3"/>
      <c r="E429" s="351"/>
      <c r="F429" s="3"/>
      <c r="G429" s="3"/>
      <c r="H429" s="3"/>
      <c r="I429" s="196" t="s">
        <v>242</v>
      </c>
      <c r="J429" s="436" t="e">
        <f>J428*60</f>
        <v>#N/A</v>
      </c>
      <c r="K429" s="196" t="s">
        <v>242</v>
      </c>
      <c r="L429" s="436" t="e">
        <f>L428*60</f>
        <v>#N/A</v>
      </c>
      <c r="M429" s="3"/>
      <c r="N429" s="17"/>
    </row>
    <row r="430" spans="1:14" x14ac:dyDescent="0.2">
      <c r="A430" s="17"/>
      <c r="B430" s="3"/>
      <c r="C430" s="4"/>
      <c r="D430" s="3"/>
      <c r="E430" s="3"/>
      <c r="F430" s="3"/>
      <c r="G430" s="3"/>
      <c r="H430" s="3"/>
      <c r="I430" s="3"/>
      <c r="J430" s="3"/>
      <c r="K430" s="3"/>
      <c r="L430" s="3"/>
      <c r="M430" s="3"/>
      <c r="N430" s="17"/>
    </row>
    <row r="431" spans="1:14" x14ac:dyDescent="0.2">
      <c r="A431" s="17"/>
      <c r="B431" s="3"/>
      <c r="C431" s="4"/>
      <c r="D431" s="3"/>
      <c r="E431" s="3"/>
      <c r="F431" s="3"/>
      <c r="G431" s="3"/>
      <c r="H431" s="3"/>
      <c r="I431" s="3"/>
      <c r="J431" s="3"/>
      <c r="K431" s="3"/>
      <c r="L431" s="3"/>
      <c r="M431" s="3"/>
      <c r="N431" s="17"/>
    </row>
    <row r="432" spans="1:14" x14ac:dyDescent="0.2">
      <c r="A432" s="17"/>
      <c r="B432" s="17"/>
      <c r="C432" s="17"/>
      <c r="D432" s="17"/>
      <c r="E432" s="17"/>
      <c r="F432" s="17"/>
      <c r="G432" s="17"/>
      <c r="H432" s="17"/>
      <c r="I432" s="17"/>
      <c r="J432" s="17"/>
      <c r="K432" s="17"/>
      <c r="L432" s="17"/>
      <c r="M432" s="17"/>
      <c r="N432" s="17"/>
    </row>
    <row r="433" spans="1:15" ht="8.25" customHeight="1" thickBot="1" x14ac:dyDescent="0.25">
      <c r="A433" s="60"/>
      <c r="B433" s="60"/>
      <c r="C433" s="60"/>
      <c r="D433" s="60"/>
      <c r="E433" s="60"/>
      <c r="F433" s="60"/>
      <c r="G433" s="60"/>
      <c r="H433" s="60"/>
      <c r="I433" s="60"/>
      <c r="J433" s="60"/>
      <c r="K433" s="60"/>
      <c r="L433" s="60"/>
      <c r="M433" s="60"/>
      <c r="N433" s="60"/>
    </row>
    <row r="434" spans="1:15" x14ac:dyDescent="0.2">
      <c r="O434" s="161"/>
    </row>
    <row r="474" ht="17.25" customHeight="1" x14ac:dyDescent="0.2"/>
  </sheetData>
  <sheetProtection algorithmName="SHA-512" hashValue="TLGSl59tkl1heELOZ/m2EVr8BhXycne3dgWutgqel0i8BStU7ZRCIEJpsZNwuCxxSwYlmxZnJpcN2LmN3NU9lw==" saltValue="H36xaOZYMmuqu3K4UIlXHw==" spinCount="100000" sheet="1" objects="1" scenarios="1"/>
  <mergeCells count="138">
    <mergeCell ref="C126:K126"/>
    <mergeCell ref="C132:C137"/>
    <mergeCell ref="D127:G127"/>
    <mergeCell ref="H127:K127"/>
    <mergeCell ref="C98:C108"/>
    <mergeCell ref="A140:N140"/>
    <mergeCell ref="C142:L142"/>
    <mergeCell ref="C146:L146"/>
    <mergeCell ref="C148:C149"/>
    <mergeCell ref="D148:E148"/>
    <mergeCell ref="I148:L148"/>
    <mergeCell ref="I97:J98"/>
    <mergeCell ref="K97:K98"/>
    <mergeCell ref="C114:K114"/>
    <mergeCell ref="C118:D118"/>
    <mergeCell ref="C117:D117"/>
    <mergeCell ref="G97:H98"/>
    <mergeCell ref="C116:D116"/>
    <mergeCell ref="F117:F118"/>
    <mergeCell ref="C422:K422"/>
    <mergeCell ref="I425:I427"/>
    <mergeCell ref="D425:D427"/>
    <mergeCell ref="F425:F427"/>
    <mergeCell ref="K425:K427"/>
    <mergeCell ref="G181:G182"/>
    <mergeCell ref="J221:K221"/>
    <mergeCell ref="C231:K231"/>
    <mergeCell ref="D233:D234"/>
    <mergeCell ref="E233:E234"/>
    <mergeCell ref="F233:F234"/>
    <mergeCell ref="G233:G234"/>
    <mergeCell ref="J233:K233"/>
    <mergeCell ref="E235:E236"/>
    <mergeCell ref="H233:I233"/>
    <mergeCell ref="J204:K204"/>
    <mergeCell ref="F361:H361"/>
    <mergeCell ref="C276:L276"/>
    <mergeCell ref="F363:H363"/>
    <mergeCell ref="C247:L247"/>
    <mergeCell ref="C386:K386"/>
    <mergeCell ref="E379:H380"/>
    <mergeCell ref="C387:D387"/>
    <mergeCell ref="C393:D393"/>
    <mergeCell ref="C16:K16"/>
    <mergeCell ref="A14:L14"/>
    <mergeCell ref="A1:L1"/>
    <mergeCell ref="C56:K56"/>
    <mergeCell ref="C58:C59"/>
    <mergeCell ref="C86:K86"/>
    <mergeCell ref="D88:G88"/>
    <mergeCell ref="H88:K88"/>
    <mergeCell ref="C88:C90"/>
    <mergeCell ref="H89:H90"/>
    <mergeCell ref="I89:I90"/>
    <mergeCell ref="J89:J90"/>
    <mergeCell ref="K89:K90"/>
    <mergeCell ref="G76:G78"/>
    <mergeCell ref="C20:K20"/>
    <mergeCell ref="I22:K22"/>
    <mergeCell ref="F39:G39"/>
    <mergeCell ref="H39:I39"/>
    <mergeCell ref="E39:E41"/>
    <mergeCell ref="A2:L2"/>
    <mergeCell ref="C37:K37"/>
    <mergeCell ref="F74:H74"/>
    <mergeCell ref="D58:F58"/>
    <mergeCell ref="C72:K72"/>
    <mergeCell ref="D221:E221"/>
    <mergeCell ref="F221:G221"/>
    <mergeCell ref="H221:I221"/>
    <mergeCell ref="I181:I182"/>
    <mergeCell ref="D179:D180"/>
    <mergeCell ref="E179:E180"/>
    <mergeCell ref="F179:F180"/>
    <mergeCell ref="G179:H179"/>
    <mergeCell ref="I179:J179"/>
    <mergeCell ref="D220:G220"/>
    <mergeCell ref="H220:K220"/>
    <mergeCell ref="C218:K218"/>
    <mergeCell ref="C204:C205"/>
    <mergeCell ref="D204:I204"/>
    <mergeCell ref="F164:I164"/>
    <mergeCell ref="F165:I165"/>
    <mergeCell ref="F166:I166"/>
    <mergeCell ref="F167:I167"/>
    <mergeCell ref="C160:D161"/>
    <mergeCell ref="C189:L189"/>
    <mergeCell ref="C191:C192"/>
    <mergeCell ref="D191:E191"/>
    <mergeCell ref="C177:J177"/>
    <mergeCell ref="H91:H93"/>
    <mergeCell ref="D89:D90"/>
    <mergeCell ref="E89:E90"/>
    <mergeCell ref="F89:F90"/>
    <mergeCell ref="G89:G90"/>
    <mergeCell ref="F364:H364"/>
    <mergeCell ref="F362:H362"/>
    <mergeCell ref="C158:L158"/>
    <mergeCell ref="F159:G159"/>
    <mergeCell ref="H159:I159"/>
    <mergeCell ref="E160:E161"/>
    <mergeCell ref="F160:I161"/>
    <mergeCell ref="F191:G191"/>
    <mergeCell ref="F162:I162"/>
    <mergeCell ref="F163:I163"/>
    <mergeCell ref="C261:L261"/>
    <mergeCell ref="C219:H219"/>
    <mergeCell ref="A241:N241"/>
    <mergeCell ref="C243:L243"/>
    <mergeCell ref="F168:I168"/>
    <mergeCell ref="F169:I169"/>
    <mergeCell ref="F170:I170"/>
    <mergeCell ref="F171:I171"/>
    <mergeCell ref="C202:L202"/>
    <mergeCell ref="C233:C234"/>
    <mergeCell ref="C220:C222"/>
    <mergeCell ref="F365:H365"/>
    <mergeCell ref="C281:C290"/>
    <mergeCell ref="D413:D415"/>
    <mergeCell ref="G413:G415"/>
    <mergeCell ref="I413:I415"/>
    <mergeCell ref="C298:K298"/>
    <mergeCell ref="C347:K347"/>
    <mergeCell ref="C322:K322"/>
    <mergeCell ref="C410:K410"/>
    <mergeCell ref="D299:E299"/>
    <mergeCell ref="C372:K372"/>
    <mergeCell ref="C310:K310"/>
    <mergeCell ref="E374:H374"/>
    <mergeCell ref="C294:K294"/>
    <mergeCell ref="C358:K358"/>
    <mergeCell ref="C333:K333"/>
    <mergeCell ref="D323:E323"/>
    <mergeCell ref="F323:G323"/>
    <mergeCell ref="H323:I323"/>
    <mergeCell ref="C401:D401"/>
    <mergeCell ref="E375:H376"/>
    <mergeCell ref="E377:H378"/>
  </mergeCells>
  <phoneticPr fontId="17" type="noConversion"/>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4</vt:i4>
      </vt:variant>
    </vt:vector>
  </HeadingPairs>
  <TitlesOfParts>
    <vt:vector size="4" baseType="lpstr">
      <vt:lpstr>FORSIDEN</vt:lpstr>
      <vt:lpstr>Utbyggingsinformasjon</vt:lpstr>
      <vt:lpstr>Resultat</vt:lpstr>
      <vt:lpstr>Forutsetninger og beregninger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Jonathan Smith</dc:creator>
  <cp:lastModifiedBy>Lise Kristin Svenning Jensen</cp:lastModifiedBy>
  <cp:lastPrinted>2021-05-11T08:54:52Z</cp:lastPrinted>
  <dcterms:created xsi:type="dcterms:W3CDTF">2015-06-05T18:17:20Z</dcterms:created>
  <dcterms:modified xsi:type="dcterms:W3CDTF">2021-09-07T07:16:17Z</dcterms:modified>
</cp:coreProperties>
</file>