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metadata.xml" ContentType="application/vnd.openxmlformats-officedocument.spreadsheetml.sheetMetadata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https://cowi.sharepoint.com/sites/A251876-project/Shared Documents/70-WorkSubmitted/10-Documents/Leveranse Hamar kommune 22.06.23/"/>
    </mc:Choice>
  </mc:AlternateContent>
  <xr:revisionPtr revIDLastSave="0" documentId="8_{13C3CA50-E4CA-45E3-831A-DA377084932C}" xr6:coauthVersionLast="47" xr6:coauthVersionMax="47" xr10:uidLastSave="{00000000-0000-0000-0000-000000000000}"/>
  <bookViews>
    <workbookView xWindow="-110" yWindow="-110" windowWidth="19420" windowHeight="10420" tabRatio="806" xr2:uid="{00000000-000D-0000-FFFF-FFFF00000000}"/>
  </bookViews>
  <sheets>
    <sheet name="Brukerveiledning" sheetId="17" r:id="rId1"/>
    <sheet name="Asfalt" sheetId="5" r:id="rId2"/>
    <sheet name="Overskuddsmasser" sheetId="11" r:id="rId3"/>
    <sheet name="Rør" sheetId="6" r:id="rId4"/>
    <sheet name="Betong" sheetId="13" r:id="rId5"/>
    <sheet name="Lavkvalitetspukk" sheetId="15" r:id="rId6"/>
    <sheet name="Byggeplass" sheetId="10" r:id="rId7"/>
    <sheet name="Massetransport" sheetId="2" r:id="rId8"/>
    <sheet name="Drivstoff" sheetId="8" r:id="rId9"/>
    <sheet name="Diverse faktorer" sheetId="4" r:id="rId10"/>
    <sheet name="Sheet1" sheetId="19" state="hidden" r:id="rId11"/>
  </sheets>
  <definedNames>
    <definedName name="_xlnm._FilterDatabase" localSheetId="10" hidden="1">Sheet1!$J$12:$K$12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" i="19" l="1"/>
  <c r="R3" i="19"/>
  <c r="M32" i="19"/>
  <c r="M37" i="19" s="1"/>
  <c r="D9" i="2"/>
  <c r="Q14" i="15"/>
  <c r="Q16" i="15"/>
  <c r="Q15" i="15"/>
  <c r="Q13" i="15"/>
  <c r="D7" i="15"/>
  <c r="D15" i="15" s="1"/>
  <c r="H7" i="15"/>
  <c r="H15" i="15" s="1"/>
  <c r="D17" i="13"/>
  <c r="H7" i="13"/>
  <c r="D7" i="13"/>
  <c r="N38" i="13"/>
  <c r="N37" i="13"/>
  <c r="N47" i="13"/>
  <c r="H16" i="15"/>
  <c r="D16" i="15"/>
  <c r="B26" i="15"/>
  <c r="B25" i="15"/>
  <c r="D19" i="15" l="1"/>
  <c r="D25" i="15" s="1"/>
  <c r="M38" i="19"/>
  <c r="M41" i="19" s="1"/>
  <c r="M43" i="19" s="1"/>
  <c r="M44" i="19" s="1"/>
  <c r="M39" i="19"/>
  <c r="H19" i="15"/>
  <c r="D26" i="15" s="1"/>
  <c r="D20" i="15" l="1"/>
  <c r="H20" i="15"/>
  <c r="D29" i="15"/>
  <c r="D30" i="15" s="1"/>
  <c r="I13" i="6" l="1"/>
  <c r="I20" i="6" s="1"/>
  <c r="I9" i="6"/>
  <c r="I19" i="6" s="1"/>
  <c r="D13" i="6"/>
  <c r="D20" i="6" s="1"/>
  <c r="D9" i="6"/>
  <c r="H16" i="13"/>
  <c r="D16" i="13"/>
  <c r="H17" i="13"/>
  <c r="B26" i="13"/>
  <c r="B25" i="13"/>
  <c r="H20" i="13" l="1"/>
  <c r="H21" i="13" s="1"/>
  <c r="D20" i="13"/>
  <c r="D21" i="13" s="1"/>
  <c r="I23" i="6"/>
  <c r="I24" i="6" s="1"/>
  <c r="D26" i="13" l="1"/>
  <c r="D25" i="13"/>
  <c r="D29" i="13" s="1"/>
  <c r="D30" i="13" s="1"/>
  <c r="L16" i="10"/>
  <c r="H16" i="10"/>
  <c r="D16" i="10"/>
  <c r="F25" i="8" l="1"/>
  <c r="F26" i="8"/>
  <c r="L9" i="10" s="1"/>
  <c r="F35" i="4" l="1"/>
  <c r="H9" i="10" l="1"/>
  <c r="D9" i="10"/>
  <c r="L7" i="10"/>
  <c r="H7" i="10"/>
  <c r="D7" i="10"/>
  <c r="N13" i="2" l="1" a="1"/>
  <c r="N13" i="2" s="1"/>
  <c r="M14" i="11" a="1"/>
  <c r="M14" i="11" s="1"/>
  <c r="I9" i="2"/>
  <c r="H7" i="11"/>
  <c r="H11" i="11" s="1"/>
  <c r="H26" i="11" s="1"/>
  <c r="N11" i="2"/>
  <c r="L18" i="10" s="1"/>
  <c r="L19" i="10" s="1"/>
  <c r="L27" i="10" s="1"/>
  <c r="D7" i="11"/>
  <c r="D8" i="11"/>
  <c r="D7" i="2" l="1"/>
  <c r="I7" i="2"/>
  <c r="D18" i="10"/>
  <c r="D19" i="10" s="1"/>
  <c r="H18" i="10"/>
  <c r="H19" i="10" s="1"/>
  <c r="H27" i="10" s="1"/>
  <c r="I14" i="2"/>
  <c r="D14" i="2"/>
  <c r="D11" i="11"/>
  <c r="D26" i="11" s="1"/>
  <c r="D9" i="11"/>
  <c r="D12" i="11" s="1"/>
  <c r="D13" i="11" s="1"/>
  <c r="D27" i="11" s="1"/>
  <c r="L26" i="10" l="1"/>
  <c r="L30" i="10" s="1"/>
  <c r="H26" i="10"/>
  <c r="H30" i="10" s="1"/>
  <c r="H8" i="11"/>
  <c r="H9" i="11"/>
  <c r="AC6" i="5"/>
  <c r="X6" i="5"/>
  <c r="S6" i="5"/>
  <c r="N6" i="5"/>
  <c r="I6" i="5"/>
  <c r="D6" i="5"/>
  <c r="H12" i="11" l="1"/>
  <c r="H13" i="11" s="1"/>
  <c r="AC9" i="5"/>
  <c r="AC14" i="5"/>
  <c r="AC8" i="5"/>
  <c r="X14" i="5"/>
  <c r="X8" i="5"/>
  <c r="S14" i="5"/>
  <c r="S8" i="5"/>
  <c r="D9" i="5"/>
  <c r="D8" i="5"/>
  <c r="H27" i="11" l="1"/>
  <c r="H29" i="11" s="1"/>
  <c r="F36" i="4" l="1"/>
  <c r="F37" i="4"/>
  <c r="D29" i="11" l="1"/>
  <c r="D35" i="11" s="1"/>
  <c r="F18" i="8" l="1"/>
  <c r="C14" i="8"/>
  <c r="C11" i="8" s="1"/>
  <c r="C8" i="8"/>
  <c r="C5" i="8" s="1"/>
  <c r="F6" i="8" l="1"/>
  <c r="F4" i="8"/>
  <c r="F10" i="8"/>
  <c r="F24" i="8" s="1"/>
  <c r="F12" i="8"/>
  <c r="C15" i="8"/>
  <c r="AI32" i="5" l="1"/>
  <c r="S15" i="5" s="1"/>
  <c r="N14" i="5"/>
  <c r="I14" i="5"/>
  <c r="D14" i="5"/>
  <c r="N15" i="5" l="1"/>
  <c r="D15" i="5"/>
  <c r="X15" i="5"/>
  <c r="AC15" i="5"/>
  <c r="AC17" i="5" s="1"/>
  <c r="AC19" i="5" s="1"/>
  <c r="I15" i="5"/>
  <c r="N8" i="5"/>
  <c r="AC27" i="5" l="1"/>
  <c r="D19" i="6" l="1"/>
  <c r="D23" i="6" l="1"/>
  <c r="D29" i="6" l="1"/>
  <c r="D28" i="6"/>
  <c r="D24" i="6"/>
  <c r="AI50" i="5"/>
  <c r="AI49" i="5"/>
  <c r="AI48" i="5"/>
  <c r="AI47" i="5"/>
  <c r="AI46" i="5"/>
  <c r="AI43" i="5"/>
  <c r="AI42" i="5"/>
  <c r="AI41" i="5"/>
  <c r="AI40" i="5"/>
  <c r="D17" i="5"/>
  <c r="I8" i="5"/>
  <c r="AI39" i="5"/>
  <c r="X9" i="5" s="1"/>
  <c r="X17" i="5" s="1"/>
  <c r="AI38" i="5"/>
  <c r="AI37" i="5"/>
  <c r="I9" i="5" s="1"/>
  <c r="AI36" i="5"/>
  <c r="S9" i="5" l="1"/>
  <c r="S17" i="5" s="1"/>
  <c r="S19" i="5" s="1"/>
  <c r="X19" i="5"/>
  <c r="X27" i="5"/>
  <c r="I26" i="5"/>
  <c r="D19" i="5"/>
  <c r="AC26" i="5"/>
  <c r="AC30" i="5" s="1"/>
  <c r="X26" i="5"/>
  <c r="X30" i="5" s="1"/>
  <c r="S26" i="5"/>
  <c r="N26" i="5"/>
  <c r="N9" i="5"/>
  <c r="N17" i="5" s="1"/>
  <c r="N19" i="5" s="1"/>
  <c r="I17" i="5"/>
  <c r="D32" i="6"/>
  <c r="D33" i="6" s="1"/>
  <c r="S27" i="5" l="1"/>
  <c r="S30" i="5" s="1"/>
  <c r="S31" i="5" s="1"/>
  <c r="I27" i="5"/>
  <c r="I30" i="5" s="1"/>
  <c r="I31" i="5" s="1"/>
  <c r="I19" i="5"/>
  <c r="AC31" i="5"/>
  <c r="X31" i="5"/>
  <c r="N27" i="5"/>
  <c r="N30" i="5" s="1"/>
  <c r="N31" i="5" s="1"/>
  <c r="D21" i="2" l="1"/>
  <c r="D20" i="2"/>
  <c r="D24" i="2" l="1"/>
  <c r="D25" i="2" s="1"/>
  <c r="D36" i="11" l="1"/>
  <c r="D39" i="11" s="1"/>
  <c r="D40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<sst xmlns="http://schemas.openxmlformats.org/spreadsheetml/2006/main" count="1615" uniqueCount="610">
  <si>
    <t>TRADISJONELL ASFALT (snitt av AGB/AG/AB/SKA)</t>
  </si>
  <si>
    <t>TRADISJONELL ASFALT m/BIOBRENSEL I A3</t>
  </si>
  <si>
    <t>ASFALT m/BIOBINDER I A1 OG BIOBRENSEL I A3</t>
  </si>
  <si>
    <t>ASFALT m/BIOBINDER og 10% GJENBRUKSASFALT I A1</t>
  </si>
  <si>
    <t>ASFALT m/BIOBINDER og 10% GJENBRUKSASFALT I A1 OG BIOBRENSEL I A3</t>
  </si>
  <si>
    <t>ASFALT m/BIOBINDER og 30% GJENBRUKSASFALT I A1 OG BIOBRENSEL I A3</t>
  </si>
  <si>
    <t>Mengde asfalt</t>
  </si>
  <si>
    <t xml:space="preserve">m³ </t>
  </si>
  <si>
    <t xml:space="preserve">Mengde asfalt </t>
  </si>
  <si>
    <t>Omgjøringsfaktor</t>
  </si>
  <si>
    <t xml:space="preserve">tonn/m³ </t>
  </si>
  <si>
    <t>VA-kalkulator</t>
  </si>
  <si>
    <t>Diesel, B20, materialer</t>
  </si>
  <si>
    <t>kg CO₂/tkm</t>
  </si>
  <si>
    <t>tonn</t>
  </si>
  <si>
    <t>Bio - konvensjonell, materialer</t>
  </si>
  <si>
    <t>Utslippsfaktor asfalt</t>
  </si>
  <si>
    <t>kg CO₂e/tonn</t>
  </si>
  <si>
    <t>Bio - avansert, materialer</t>
  </si>
  <si>
    <t>Elektrisk NO, materialer</t>
  </si>
  <si>
    <t>Transport fra leverandør</t>
  </si>
  <si>
    <t>km</t>
  </si>
  <si>
    <t>Elektrisk EU+NO, materialer</t>
  </si>
  <si>
    <t>Utslippsfaktor transport</t>
  </si>
  <si>
    <t>kg CO₂e/tkm</t>
  </si>
  <si>
    <t>asfalt vekt</t>
  </si>
  <si>
    <t>kg/m³</t>
  </si>
  <si>
    <t>Legging av asfalt</t>
  </si>
  <si>
    <r>
      <t>l</t>
    </r>
    <r>
      <rPr>
        <vertAlign val="subscript"/>
        <sz val="11"/>
        <color theme="1"/>
        <rFont val="Calibri"/>
        <family val="2"/>
        <scheme val="minor"/>
      </rPr>
      <t>diesel</t>
    </r>
    <r>
      <rPr>
        <sz val="11"/>
        <color theme="1"/>
        <rFont val="Calibri"/>
        <family val="2"/>
        <scheme val="minor"/>
      </rPr>
      <t>/t</t>
    </r>
  </si>
  <si>
    <t>asfalt tykkelse</t>
  </si>
  <si>
    <t>m</t>
  </si>
  <si>
    <t>Utslippsfaktor anleggsdiesel</t>
  </si>
  <si>
    <t>kg CO₂e/l</t>
  </si>
  <si>
    <t>Totalt utslipp</t>
  </si>
  <si>
    <t>kg CO₂e</t>
  </si>
  <si>
    <t>Tettheter/egenvekter vegLCA v5.10b</t>
  </si>
  <si>
    <t>Asfalt</t>
  </si>
  <si>
    <t>t/m³</t>
  </si>
  <si>
    <t>Totalt årlig utslipp</t>
  </si>
  <si>
    <t>kg CO₂e/år</t>
  </si>
  <si>
    <t>Asfaltert grus</t>
  </si>
  <si>
    <t>EPS 200</t>
  </si>
  <si>
    <t>XPS 400</t>
  </si>
  <si>
    <t>FORSKJELL KLIMAGASSUTSLIPP FRA TRADISJONELL ASFALT</t>
  </si>
  <si>
    <t>Anslått levetid</t>
  </si>
  <si>
    <t>Tradisjonell asfalt</t>
  </si>
  <si>
    <t>år</t>
  </si>
  <si>
    <t>Tradisjonell asfalt m/biobrensel i A3</t>
  </si>
  <si>
    <t>Tradisjonell asfalt m/biobinder og biobrensel</t>
  </si>
  <si>
    <t>Tradisjonell asfalt m/biobinder og gjenbruksasfalt</t>
  </si>
  <si>
    <t>Tradisjonell asfalt m/biobinder, gjenbruksasfalt og biobrensel</t>
  </si>
  <si>
    <t>Dieselforbruk vegLCA v5.10b</t>
  </si>
  <si>
    <t>Besparelse</t>
  </si>
  <si>
    <t>l diesel/t</t>
  </si>
  <si>
    <t>tonn CO₂e</t>
  </si>
  <si>
    <t>Utslippsfaktor anleggsdiesel pr. 2023</t>
  </si>
  <si>
    <t>A1-A3</t>
  </si>
  <si>
    <t>Asfalt (antatt levetid 10-20 år)</t>
  </si>
  <si>
    <t>Lag</t>
  </si>
  <si>
    <t>Type</t>
  </si>
  <si>
    <t>BAKGRUNNSDATA</t>
  </si>
  <si>
    <t>NCC Agb 160/220 Bio Pellets</t>
  </si>
  <si>
    <t>BI &amp; SL</t>
  </si>
  <si>
    <t>Biobinder i A1, biobrensel i A3</t>
  </si>
  <si>
    <t>https://www.epd-norge.no/getfile.php/1327587-1670226310/EPDer/Byggevarer/Asfalt/NEPD-3991-3035_NCC-Agb-160-220-Bio-Pellets.pdf</t>
  </si>
  <si>
    <t>NCC Agb 160/220 Pellets</t>
  </si>
  <si>
    <t>Biobrensel i A3</t>
  </si>
  <si>
    <t>https://www.epd-norge.no/getfile.php/1327560-1670225750/EPDer/Byggevarer/Asfalt/NEPD-3995-3031_NCC-Agb-160-220-Pellets.pdf</t>
  </si>
  <si>
    <t>Ny veileder i gjenbruk av asfalt april 2023 | KFA (asfaltgjenvinning.no)</t>
  </si>
  <si>
    <t>Data fra vegLCA v5.10b</t>
  </si>
  <si>
    <t>NCC Ag Pellets</t>
  </si>
  <si>
    <t>BI &amp; BÆ</t>
  </si>
  <si>
    <t>https://www.epd-norge.no/getfile.php/1327533-1670225163/EPDer/Byggevarer/Asfalt/NEPD-3980-3019_NCC-Ag--Pellets.pdf</t>
  </si>
  <si>
    <t>Gjenbruksasfalt</t>
  </si>
  <si>
    <t>Asfaltert grus (Ag)</t>
  </si>
  <si>
    <t>kg CO₂e/kg</t>
  </si>
  <si>
    <t>Veidekke Ab 11 og Ab16 70/100 Miljøasfalt pluss</t>
  </si>
  <si>
    <t>Biobinder og 10% gjenbruksasfalt i A1, biobrensel i A3</t>
  </si>
  <si>
    <t>https://www.epd-norge.no/getfile.php/1324959-1668421634/EPDer/Byggevarer/Asfalt/NEPD-3652-2592_Veidekke--Ab-11-og-Ab16--70-100-Miljoasfalt-pluss.pdf</t>
  </si>
  <si>
    <t>Modul A1</t>
  </si>
  <si>
    <t>Asfaltert pukk (Ap)</t>
  </si>
  <si>
    <t>høytrafikkert</t>
  </si>
  <si>
    <t>Veidekke Ska 16 PMB Miljøasfalt</t>
  </si>
  <si>
    <t>SL</t>
  </si>
  <si>
    <t>Biobinder og 10% gjenbruksasfalt i A1</t>
  </si>
  <si>
    <t>https://www.epd-norge.no/getfile.php/1324938-1668421553/EPDer/Byggevarer/Asfalt/NEPD-3649-2595_Veidekke-Ska-16-PMB-Miljoasfalt-battransport-av-tilslag.pdf</t>
  </si>
  <si>
    <t>4,5% bitumen-innhold</t>
  </si>
  <si>
    <t>Asfaltgrusbetong (Agb)</t>
  </si>
  <si>
    <t>ÅDT &lt; 3000</t>
  </si>
  <si>
    <t>Veidekke Agb11 160/220 Miljøasfalt</t>
  </si>
  <si>
    <t>https://www.epd-norge.no/getfile.php/1324947-1668421581/EPDer/Byggevarer/Asfalt/NEPD-3650-2594_Veidekke-Agb11-160-220-Miljoasfalt%281%29.pdf</t>
  </si>
  <si>
    <t>10% tilsatt resirkulert asfalt:</t>
  </si>
  <si>
    <t>kg CO₂e/t asfalt</t>
  </si>
  <si>
    <t>Asfaltbetong (Ab)</t>
  </si>
  <si>
    <t>ÅDT &gt; 1500</t>
  </si>
  <si>
    <t>Veidekke Ab 11 og Ab16 160/220 Miljøasfalt</t>
  </si>
  <si>
    <t>https://www.epd-norge.no/getfile.php/1324953-1668421608/EPDer/Byggevarer/Asfalt/NEPD-3651-2593_Veidekke-Ab-11-og-Ab16-160-220-Miljoasfalt--og-battransport-av-tilslag.pdf</t>
  </si>
  <si>
    <t>50% tilsatt resirkulert asfalt:</t>
  </si>
  <si>
    <t>Asfaltbetong (Ab PMB)</t>
  </si>
  <si>
    <t>Veidekke Ska 16 PMB Miljøasfalt pluss</t>
  </si>
  <si>
    <t>https://www.epd-norge.no/getfile.php/1324914-1668421427/EPDer/Byggevarer/Asfalt/NEPD-3645-2599_Veidekke-Ska-16-PMB-Miljoasfalt-pluss.pdf</t>
  </si>
  <si>
    <t>Mykasfalt (Ma)</t>
  </si>
  <si>
    <t>ABb Skanska Grön asfalt BioZero</t>
  </si>
  <si>
    <t>BI</t>
  </si>
  <si>
    <t>Biobinder og 30% gjenbruksasfalt i A1, 100% fornybart drivstoff i A3</t>
  </si>
  <si>
    <t>https://www.epd-norge.no/getfile.php/1318892-1622467329/EPDer/Byggevarer/Asfalt/NEPD-2822-1516_ABb-Skanska-Gron-asfalt-BioZero-Gallivare--Lulea--Umea--Sundsvall--Borlange-och-Sodertalje-asfaltverk.pdf</t>
  </si>
  <si>
    <t>5,2% bitumen-innhold</t>
  </si>
  <si>
    <t>Asfaltskumgrus (Asg)</t>
  </si>
  <si>
    <t>AG Skanska Grön asfalt BioZero</t>
  </si>
  <si>
    <t>BÆ</t>
  </si>
  <si>
    <t>https://www.epd-norge.no/getfile.php/1318883-1622466887/EPDer/Byggevarer/Asfalt/NEPD-2821-1518_AG-Skanska-Gron-asfalt-BioZero-Gallivare--Lulea--Umea--Sundsvall--Borlange-och-Sodertalje-asfaltverk.pdf</t>
  </si>
  <si>
    <t>Skjelettasfalt (Ska)</t>
  </si>
  <si>
    <t>NCC Ab 70/100 Pellets</t>
  </si>
  <si>
    <t>https://www.epd-norge.no/getfile.php/1327527-1670225027/EPDer/Byggevarer/Asfalt/NEPD-3987-3027_NCC-Ab--70-100-Pellets-Biltransport-.pdf</t>
  </si>
  <si>
    <t>Skjelettasfalt (Ska PMB)</t>
  </si>
  <si>
    <t>NCC Ab 70/100 Bio Pellets</t>
  </si>
  <si>
    <t>https://www.epd-norge.no/getfile.php/1327521-1670224871/EPDer/Byggevarer/Asfalt/NEPD-3986-3025_NCC-Ab--70-100-Bio-Pellets-Biltransport--.pdf</t>
  </si>
  <si>
    <t>Støpeasfalt (Sta)</t>
  </si>
  <si>
    <t>NCC Ska Pmb Pellets</t>
  </si>
  <si>
    <t>PMB i A1, biobrensel i A3</t>
  </si>
  <si>
    <t>https://www.epd-norge.no/getfile.php/1327515-1670224626/EPDer/Byggevarer/Asfalt/NEPD-3985-3024_NCC-Ska-Pmb-Pellets-Biltransport--.pdf</t>
  </si>
  <si>
    <t>Modul A2</t>
  </si>
  <si>
    <t>Topeka (Top)</t>
  </si>
  <si>
    <t>NCC Ag Bio Pellets</t>
  </si>
  <si>
    <t>https://www.epd-norge.no/getfile.php/1327488-1670223665/EPDer/Byggevarer/Asfalt/NEPD-3982-3016_NCC-Ag-Bio-Pellets.pdf</t>
  </si>
  <si>
    <t>Emulsjonsgrus (Esg)</t>
  </si>
  <si>
    <t>NCC Ag Bio LPG</t>
  </si>
  <si>
    <t>https://www.epd-norge.no/getfile.php/1327494-1670223811/EPDer/Byggevarer/Asfalt/NEPD-3979-3017_NCC-Ag-Bio-LPG--.pdf</t>
  </si>
  <si>
    <t>Gjenbruksasfalt (Gja)</t>
  </si>
  <si>
    <t>Drensasfalt (Da)</t>
  </si>
  <si>
    <t>Tynndekke (T)</t>
  </si>
  <si>
    <t>Modul A3</t>
  </si>
  <si>
    <t>Slamasfalt (Sla)</t>
  </si>
  <si>
    <t>Ingen konkrete tall, avhengig av energikilde og fuktinnhold</t>
  </si>
  <si>
    <t>Produsert i Norge</t>
  </si>
  <si>
    <t>Produsert i Portugal</t>
  </si>
  <si>
    <t>Produsert i India</t>
  </si>
  <si>
    <t>Asak Flyt | Asak Miljøstein</t>
  </si>
  <si>
    <t>PUKK OMFYLLINGSMASSER</t>
  </si>
  <si>
    <t>STEDLIGE OMFYLLINGSMASSER</t>
  </si>
  <si>
    <t>DATAGRUNNLAG</t>
  </si>
  <si>
    <t>Fundament (pukk)</t>
  </si>
  <si>
    <t>Stedlige masser (velg type)</t>
  </si>
  <si>
    <t>Jord og leire</t>
  </si>
  <si>
    <t>Omfyllingsmasser (pukk)</t>
  </si>
  <si>
    <t>Omfyllingsmasser (stedlige masser)</t>
  </si>
  <si>
    <t>Gjenfyllingsmasser (stedlige masser)</t>
  </si>
  <si>
    <t>Fundament</t>
  </si>
  <si>
    <t>m³</t>
  </si>
  <si>
    <t>Omfyllingsmasser</t>
  </si>
  <si>
    <t>Tilkjørt pukk</t>
  </si>
  <si>
    <t>Gjenfyllingsmasser</t>
  </si>
  <si>
    <t>Stedlige masser til mellomlagring</t>
  </si>
  <si>
    <t>Overskuddsmasser</t>
  </si>
  <si>
    <t>Stedlige masser til massedeponi</t>
  </si>
  <si>
    <t>Omgjøringsfaktor stedlige jordmasser</t>
  </si>
  <si>
    <t>tonn/m³</t>
  </si>
  <si>
    <t>Utslippsfaktor pukk-produksjon (grad 2)</t>
  </si>
  <si>
    <t>Omgjøringsfaktor pukk</t>
  </si>
  <si>
    <r>
      <rPr>
        <b/>
        <sz val="11"/>
        <color theme="1"/>
        <rFont val="Calibri"/>
        <family val="2"/>
        <scheme val="minor"/>
      </rPr>
      <t>Forutsetning:</t>
    </r>
    <r>
      <rPr>
        <sz val="11"/>
        <color theme="1"/>
        <rFont val="Calibri"/>
        <family val="2"/>
        <scheme val="minor"/>
      </rPr>
      <t xml:space="preserve"> Frostfri dybde i begge tilfeller</t>
    </r>
  </si>
  <si>
    <t>Transport av masser og materialer</t>
  </si>
  <si>
    <t>Transportavstand mellomlager</t>
  </si>
  <si>
    <t>Transportavstand massedeponi</t>
  </si>
  <si>
    <t>Omregningsfaktorer</t>
  </si>
  <si>
    <t>Transportavstand pukk</t>
  </si>
  <si>
    <t>fm³</t>
  </si>
  <si>
    <t>lm³</t>
  </si>
  <si>
    <t>am³</t>
  </si>
  <si>
    <t>Teoretisk fast masse</t>
  </si>
  <si>
    <t>Fast</t>
  </si>
  <si>
    <t>Løs</t>
  </si>
  <si>
    <t>Anbragt</t>
  </si>
  <si>
    <t>Tunnelstein/stein fra grøft</t>
  </si>
  <si>
    <t>Øvrig sprengstein</t>
  </si>
  <si>
    <t>UTSLIPP</t>
  </si>
  <si>
    <t>Morene, sand, grus</t>
  </si>
  <si>
    <t>Utslipp materialproduksjon</t>
  </si>
  <si>
    <t>Leire, silt</t>
  </si>
  <si>
    <t>Utslipp transport</t>
  </si>
  <si>
    <t>Jord</t>
  </si>
  <si>
    <t>tonn/lm³</t>
  </si>
  <si>
    <t>VegLCA</t>
  </si>
  <si>
    <t>Sprengstein</t>
  </si>
  <si>
    <t>Grus/pukk</t>
  </si>
  <si>
    <t>FORSKJELL KLIMAGASSUTSLIPP</t>
  </si>
  <si>
    <t>Pukk omfyllingsmasser</t>
  </si>
  <si>
    <t>Stedlige omfyllingsmasser</t>
  </si>
  <si>
    <t>Rørlengde</t>
  </si>
  <si>
    <t>Utslippsfaktor (A1-A3)</t>
  </si>
  <si>
    <t>kg CO₂e/m</t>
  </si>
  <si>
    <t>kg CO₂e./m</t>
  </si>
  <si>
    <t xml:space="preserve">Avstand leverandør </t>
  </si>
  <si>
    <t>kg/m</t>
  </si>
  <si>
    <t>Egenvekt rør</t>
  </si>
  <si>
    <t>fm3</t>
  </si>
  <si>
    <t>lm3</t>
  </si>
  <si>
    <t>am3</t>
  </si>
  <si>
    <t>tonn/lm3</t>
  </si>
  <si>
    <t>kg CO₂e/m³</t>
  </si>
  <si>
    <t>Kilde</t>
  </si>
  <si>
    <t>FOSSILDREVET ANLEGGSPLASS</t>
  </si>
  <si>
    <t>FOSSILFRI ANLEGGSPLASS</t>
  </si>
  <si>
    <t>UTSLIPPSFRI ANLEGGSPLASS</t>
  </si>
  <si>
    <t>Utslippsfaktor materialtransport</t>
  </si>
  <si>
    <t>Mengder</t>
  </si>
  <si>
    <t>Materialer</t>
  </si>
  <si>
    <t>Utslippsfaktor massetransport</t>
  </si>
  <si>
    <t>Masser til gjenbruk</t>
  </si>
  <si>
    <t>Masser til deponi</t>
  </si>
  <si>
    <t>Energibruk anleggsmaskiner</t>
  </si>
  <si>
    <r>
      <t>Liten gravemaskin (</t>
    </r>
    <r>
      <rPr>
        <sz val="11"/>
        <color theme="1"/>
        <rFont val="Verdana"/>
        <family val="2"/>
      </rPr>
      <t>≤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15 tonn)</t>
    </r>
  </si>
  <si>
    <t>liter/t</t>
  </si>
  <si>
    <t>kWh/t</t>
  </si>
  <si>
    <t>Transportavstand</t>
  </si>
  <si>
    <t>Medium gravemaskin (16-23 tonn)</t>
  </si>
  <si>
    <r>
      <t>Stor gravemaskin (</t>
    </r>
    <r>
      <rPr>
        <sz val="11"/>
        <color theme="1"/>
        <rFont val="Verdana"/>
        <family val="2"/>
      </rPr>
      <t>≥</t>
    </r>
    <r>
      <rPr>
        <sz val="11"/>
        <color theme="1"/>
        <rFont val="Calibri"/>
        <family val="2"/>
      </rPr>
      <t xml:space="preserve"> 24 tonn)</t>
    </r>
  </si>
  <si>
    <t>Utslippsfaktor anleggsarbeid</t>
  </si>
  <si>
    <t>kg CO₂e/kWh</t>
  </si>
  <si>
    <t>Driftstid</t>
  </si>
  <si>
    <t>t</t>
  </si>
  <si>
    <t>Forutsetninger</t>
  </si>
  <si>
    <t>Elektrisitet: EU+NO</t>
  </si>
  <si>
    <t>HVO100 biodiesel i fossilfritt alternativ</t>
  </si>
  <si>
    <t>Fossildrevet anleggsplass</t>
  </si>
  <si>
    <t>Fossilfri anleggsplass</t>
  </si>
  <si>
    <t>Utslippsfri anleggsplass</t>
  </si>
  <si>
    <t>MASSER TIL EKSTERNT MELLOMLAGER</t>
  </si>
  <si>
    <t>MASSER TIL INTERNT MELLOMLAGER</t>
  </si>
  <si>
    <t>Masse</t>
  </si>
  <si>
    <t>Stedlige masser til gjenbruk</t>
  </si>
  <si>
    <t>Stedlige gjenfyllingsmasser</t>
  </si>
  <si>
    <t>Sum gjenbrukte stedlige masser</t>
  </si>
  <si>
    <t>Omgjøringsfaktor stedlige masser</t>
  </si>
  <si>
    <t>Avstand eksternt mellomlager</t>
  </si>
  <si>
    <t>Avstand internt mellomlager</t>
  </si>
  <si>
    <t>Eksternt mellomlager</t>
  </si>
  <si>
    <t>Internt mellomlager</t>
  </si>
  <si>
    <t>FORUTSETNINGER</t>
  </si>
  <si>
    <t>Utslippsfaktor</t>
  </si>
  <si>
    <t>Anleggsdiesel: Innblanding biodiesel basert på omsetningskrav</t>
  </si>
  <si>
    <t>Fra 2023</t>
  </si>
  <si>
    <t>Minstekrav</t>
  </si>
  <si>
    <t>Anleggsdiesel inkl. prosessrelaterte dieselutslipp</t>
  </si>
  <si>
    <t>Fossil diesel, B0</t>
  </si>
  <si>
    <t>av totalt drivstoff</t>
  </si>
  <si>
    <t>Utslippsfri byggeprosess i Oslo – Konsekvensutredning SINTEF Bokhandel</t>
  </si>
  <si>
    <t>Konvensjonelt biodrivstoff, B100</t>
  </si>
  <si>
    <t>Anleggsdiesel ekskl. prosessrelaterte dieselutslipp</t>
  </si>
  <si>
    <t xml:space="preserve">Denne rapporten sier at det finnes få </t>
  </si>
  <si>
    <t>Avansert biodrivstoff, B100</t>
  </si>
  <si>
    <t>% omsatt biodiesel i anleggsdiesel</t>
  </si>
  <si>
    <t>Diesel for veitransport: Innblanding biodiesel basert på omsetningskrav</t>
  </si>
  <si>
    <t>Diesel for vegtransport inkl. prosessrelaterte dieselutslipp</t>
  </si>
  <si>
    <t>Diesel for vegtransport ekskl. prosessrelaterte dieselutslipp</t>
  </si>
  <si>
    <t>% omsatt biodiesel i diesel for veitransport</t>
  </si>
  <si>
    <t>Andel biodiesel iht omsetningskrav, med dobbelttelling av avanset biodiesel</t>
  </si>
  <si>
    <t>Virkningsgrad elmotor med batteri</t>
  </si>
  <si>
    <t>Virkningsgrad dieselmotor</t>
  </si>
  <si>
    <t>Drivstoff</t>
  </si>
  <si>
    <t>kWh/l</t>
  </si>
  <si>
    <t>Energiinnhold i diesel</t>
  </si>
  <si>
    <t>Fossil diesel, 0% biodiesel</t>
  </si>
  <si>
    <r>
      <t>kWh</t>
    </r>
    <r>
      <rPr>
        <vertAlign val="subscript"/>
        <sz val="11"/>
        <color theme="1"/>
        <rFont val="Calibri"/>
        <family val="2"/>
        <scheme val="minor"/>
      </rPr>
      <t>el</t>
    </r>
    <r>
      <rPr>
        <sz val="11"/>
        <color theme="1"/>
        <rFont val="Calibri"/>
        <family val="2"/>
        <scheme val="minor"/>
      </rPr>
      <t>/l</t>
    </r>
    <r>
      <rPr>
        <vertAlign val="subscript"/>
        <sz val="11"/>
        <color theme="1"/>
        <rFont val="Calibri"/>
        <family val="2"/>
        <scheme val="minor"/>
      </rPr>
      <t>diesel</t>
    </r>
  </si>
  <si>
    <t>Omregningsfaktor fra dieselforbruk til strømforbruk</t>
  </si>
  <si>
    <t>l/tkm</t>
  </si>
  <si>
    <t>vegLCA - massetransport (bil)</t>
  </si>
  <si>
    <t>Forbrenning av fossil diesel, 0% biodiesel</t>
  </si>
  <si>
    <t>Forbrenning av konvensjonelt biodrivstoff, 100% biodiesel</t>
  </si>
  <si>
    <t>vegLCA - avansert biodrivstoff, 100% biodiesel</t>
  </si>
  <si>
    <t>Forbrenning av avansert biodrivstoff, 100% biodiesel</t>
  </si>
  <si>
    <t>Elektrisitet - Anlegg</t>
  </si>
  <si>
    <t>Massetransport (diesel for veitransport)</t>
  </si>
  <si>
    <t>Massetransport (biodiesel, avansert)</t>
  </si>
  <si>
    <t>Massetransport (elektrisk)</t>
  </si>
  <si>
    <t>Utslippsfaktor fra VegLCA v5.10b, prosentfordeling minstekrav fra produktforskrift</t>
  </si>
  <si>
    <t>Forskrift om begrensning i bruk av helse- og miljøfarlige kjemikalier og andre produkter (produktforskriften) - Kapittel 3. Omsetningskrav for biodrivstoff og bærekraftskriterier for biodrivstoff og flytende b... - Lovdata</t>
  </si>
  <si>
    <t>Utslippsfaktorer</t>
  </si>
  <si>
    <t>Tettheter/egenvekter VegLCA</t>
  </si>
  <si>
    <t>Tykkelser, vegoppbygning VegLCA</t>
  </si>
  <si>
    <t>Transportavstander vegLCA</t>
  </si>
  <si>
    <t>Pukk (produksjon), 2. knusetrinn</t>
  </si>
  <si>
    <t>VA-klimakalkulator, gjennomsnitt</t>
  </si>
  <si>
    <t>Avrettingslag</t>
  </si>
  <si>
    <t>Massetransport</t>
  </si>
  <si>
    <t>Grus/pukk (produksjon), 3. knusetrinn</t>
  </si>
  <si>
    <t>(A1-A3) vegLCA</t>
  </si>
  <si>
    <t>Bærelag</t>
  </si>
  <si>
    <t>Asfaltmaterialer</t>
  </si>
  <si>
    <t>tonn/m3</t>
  </si>
  <si>
    <t>Bindlag</t>
  </si>
  <si>
    <t>Betong</t>
  </si>
  <si>
    <t>Betong, elementer B35 Bransjereferanse</t>
  </si>
  <si>
    <t>kg CO₂e/t</t>
  </si>
  <si>
    <t>Slitelag</t>
  </si>
  <si>
    <t>Sement</t>
  </si>
  <si>
    <t>Betong, elementer B35 Lavkarbon B</t>
  </si>
  <si>
    <t>Tømmer</t>
  </si>
  <si>
    <t>Belegning på skulder, asfalt</t>
  </si>
  <si>
    <t>Betongelementer</t>
  </si>
  <si>
    <t>Betong, elementer B35 Lavkarbon A</t>
  </si>
  <si>
    <t>Lettklinker</t>
  </si>
  <si>
    <t>kg/m3</t>
  </si>
  <si>
    <t>Belegning på skulder, grus/knust asfalt</t>
  </si>
  <si>
    <t>Sprøytebetong</t>
  </si>
  <si>
    <t>Betong, elementer B45 Bransjereferanse</t>
  </si>
  <si>
    <t>Skumglassgranulat, standard</t>
  </si>
  <si>
    <t>Betongdekke</t>
  </si>
  <si>
    <t>Kabler</t>
  </si>
  <si>
    <t>Betong, elementer B45 Lavkarbon B</t>
  </si>
  <si>
    <t>Stålmaterialer</t>
  </si>
  <si>
    <t>Betong, elementer B45 Lavkarbon A</t>
  </si>
  <si>
    <t>Plastmaterialer</t>
  </si>
  <si>
    <t>Betong, elementer B55 Bransjereferanse</t>
  </si>
  <si>
    <t>PE-skum</t>
  </si>
  <si>
    <t>Armeringsduk &amp; fiberduk</t>
  </si>
  <si>
    <t>Betong, elementer B55 Lavkarbon B</t>
  </si>
  <si>
    <t>Bitumenemulsjon</t>
  </si>
  <si>
    <t>kg/l</t>
  </si>
  <si>
    <t>HDPE &amp; GRP</t>
  </si>
  <si>
    <t>Betong, elementer B55 Lavkarbon A</t>
  </si>
  <si>
    <t>Trevirke</t>
  </si>
  <si>
    <t>Frostsikring EPS 200 &amp; XPS 400</t>
  </si>
  <si>
    <t>Normalbetong, B30, Bransjereferanse</t>
  </si>
  <si>
    <t>Lettbetong</t>
  </si>
  <si>
    <t>Naturstein</t>
  </si>
  <si>
    <t>Normalbetong, B30, Lavkarbon B</t>
  </si>
  <si>
    <t>Avfallsmasser til behandling (klasse 1-5)</t>
  </si>
  <si>
    <t>Normalbetong, B30, Lavkarbon A</t>
  </si>
  <si>
    <t>Kobber</t>
  </si>
  <si>
    <t>Normalbetong, B35, Bransjereferanse</t>
  </si>
  <si>
    <t>Stål</t>
  </si>
  <si>
    <t>Normalbetong, B35, Lavkarbon B</t>
  </si>
  <si>
    <t>Sink</t>
  </si>
  <si>
    <t>Normalbetong, B35, Lavkarbon A</t>
  </si>
  <si>
    <t>Normalbetong, B45, Bransjereferanse</t>
  </si>
  <si>
    <t>Normalbetong, B45, Lavkarbon B</t>
  </si>
  <si>
    <t>Normalbetong, B45, Lavkarbon A</t>
  </si>
  <si>
    <t>Normalbetong, B55, Bransjereferanse</t>
  </si>
  <si>
    <t>Normalbetong, B55, Lavkarbon B</t>
  </si>
  <si>
    <t>Normalbetong, B55, Lavkarbon A</t>
  </si>
  <si>
    <t>Betong til rør, kummer og stikkrenner</t>
  </si>
  <si>
    <t>Stål, spennarmering</t>
  </si>
  <si>
    <t>Stål, kamstål armering</t>
  </si>
  <si>
    <t>Armering</t>
  </si>
  <si>
    <t>Gjennomsnitt 10 EPDer. Kamstål</t>
  </si>
  <si>
    <t>Sement, CEM I</t>
  </si>
  <si>
    <t>Sement, CEM II</t>
  </si>
  <si>
    <t>Anleggsdiesel, B0, masser</t>
  </si>
  <si>
    <t>kg CO₂/l</t>
  </si>
  <si>
    <t>Sement, CEM III</t>
  </si>
  <si>
    <t>Bio - konvensjonell, masser</t>
  </si>
  <si>
    <t>Bio - avansert, masser</t>
  </si>
  <si>
    <t>Elektrisk NO, masser</t>
  </si>
  <si>
    <t>Elektrisk EU+NO, masser</t>
  </si>
  <si>
    <t>Anleggsdiesel, B0, anlegg</t>
  </si>
  <si>
    <t>Bio - konvensjonell, anlegg</t>
  </si>
  <si>
    <t>Bio - avansert, anlegg</t>
  </si>
  <si>
    <t>Elektrisk NO, anlegg</t>
  </si>
  <si>
    <t>Elektrisk EU+NO, anlegg</t>
  </si>
  <si>
    <t>Sprøytebetong, B35, Bransjereferanse</t>
  </si>
  <si>
    <t>Betong bransje (publikasjon 2019)</t>
  </si>
  <si>
    <t>Sprøytebetong, B35, Lavkarbon</t>
  </si>
  <si>
    <t>Sprøytebetong, B35, Bransjereferanse, med tilsetting av stålfiber</t>
  </si>
  <si>
    <t>Sprøytebetong, B35, Lavkarbon, med tilsetting av stålfiber</t>
  </si>
  <si>
    <t>celler som fylles inn for hvert enkelt prosjekt</t>
  </si>
  <si>
    <t>celler som ikke skal endres på</t>
  </si>
  <si>
    <t>celler som endres for hvert enkelt prosjekt</t>
  </si>
  <si>
    <t>BRUKERVEILEDNING KLIMAGASSBEREGNINGER</t>
  </si>
  <si>
    <t>Hamar kommune</t>
  </si>
  <si>
    <t xml:space="preserve">Grønne celler er de som skal fylles ut ved hvert enkelt prosjelt. </t>
  </si>
  <si>
    <t>Grå celler skal ikke/behøves ikke å endres på.</t>
  </si>
  <si>
    <t>Formål:</t>
  </si>
  <si>
    <t>Utarbeidet av:</t>
  </si>
  <si>
    <t>Eier:</t>
  </si>
  <si>
    <t xml:space="preserve">Formålet med dette beregningsdokumentet er å gi Hamar kommune mulighet til å gjøre enkle klimagassvurderinger for de ulike tiltakene som er vurdert i klimasatsrapporten, utarbeidet juni 2023 av COWI AS. </t>
  </si>
  <si>
    <t>Forutsetninger:</t>
  </si>
  <si>
    <t>OMREGNINGSFAKTORER</t>
  </si>
  <si>
    <t>PVC Sewage pipe 110x3,2 SN8</t>
  </si>
  <si>
    <t>kg CO₂/m</t>
  </si>
  <si>
    <t>PVC grunnavløp/overvannsrør DN125</t>
  </si>
  <si>
    <t xml:space="preserve">PVC Kabelrør SN8 110/3,2-6M </t>
  </si>
  <si>
    <t>PVC Sewage pipe 160x4,7 SN8</t>
  </si>
  <si>
    <t xml:space="preserve">https://www.epd-norge.no/getfile.php/1319036-1622809653/EPDer/Byggevarer/R%C3%B8rsystemer/NEPD-2880-1574_PVC-Sewage-pipe-110x3-2-SN8-1m.pdf </t>
  </si>
  <si>
    <t xml:space="preserve">https://www.epd-norge.no/getfile.php/1314469-1601888764/EPDer/Byggevarer/R%C3%B8rsystemer/NEPD-2328-1070_110-3-2-6M-PVC-KABELROR-SN8-RO.pdf </t>
  </si>
  <si>
    <t xml:space="preserve">https://www.epd-norge.no/getfile.php/1319810-1628772301/EPDer/Byggevarer/R%C3%B8rsystemer/NEPD-2995-1673_PVC-Sewage-pipe-160x4-7-SN8-1m-.pdf </t>
  </si>
  <si>
    <t>PE 100 Trykkrør SDR11 1000 mm</t>
  </si>
  <si>
    <t xml:space="preserve">https://www.epd-norge.no/getfile.php/1321762-1638958512/EPDer/Byggevarer/R%C3%B8rsystemer/NEPD-3264-1905_PE-100-trykkrorsystem.pdf </t>
  </si>
  <si>
    <t>Grunnavløps- og overvannsrør med homogen rørvegg i PP DN200</t>
  </si>
  <si>
    <t>Pragma grunnavløps-, overvanns- og drensrør i PP DN200</t>
  </si>
  <si>
    <t>https://www.epd-norge.no/getfile.php/1319036-1622809653/EPDer/Byggevarer/R%C3%B8rsystemer/NEPD-2880-1574_PVC-Sewage-pipe-110x3-2-SN8-1m.pdf</t>
  </si>
  <si>
    <t>NEPD-1505-513_Glatte-grunnavl--ps--og-overvannsr--r-i-PP--------.pdf (epd-norge.no)</t>
  </si>
  <si>
    <t>NEPD-1507-513_Pragma-spillvanns---overvanns--og-drensr--r-i-PP.pdf (epd-norge.no)</t>
  </si>
  <si>
    <t>PE</t>
  </si>
  <si>
    <t>mm</t>
  </si>
  <si>
    <t>PP</t>
  </si>
  <si>
    <t>PVC</t>
  </si>
  <si>
    <t>GRP</t>
  </si>
  <si>
    <t>Støpejern</t>
  </si>
  <si>
    <t>ok</t>
  </si>
  <si>
    <t>EBRE 28.04.23</t>
  </si>
  <si>
    <t>Lavkarbon A B35</t>
  </si>
  <si>
    <t>B35, betonglodd</t>
  </si>
  <si>
    <t>Lavkarbon B B35</t>
  </si>
  <si>
    <t>Lavkarbon Pluss, B30</t>
  </si>
  <si>
    <t>Lavkarbon Pluss, B35</t>
  </si>
  <si>
    <t>Lavkarbon Pluss, B45</t>
  </si>
  <si>
    <t>Lavkarbon Pluss, B55</t>
  </si>
  <si>
    <t>Lavkarbon Pluss, B65</t>
  </si>
  <si>
    <t>Lavkarbon Ekstrem, B30</t>
  </si>
  <si>
    <t>Lavkarbon Ekstrem, B35</t>
  </si>
  <si>
    <t>Lavkarbon Ekstrem, B45</t>
  </si>
  <si>
    <t>Lavkarbon Ekstrem, B55</t>
  </si>
  <si>
    <t>Lavkarbon Ekstrem, B65</t>
  </si>
  <si>
    <t>Rustfritt stål</t>
  </si>
  <si>
    <t>NAVN TYPE</t>
  </si>
  <si>
    <t>KS</t>
  </si>
  <si>
    <t>Kommentar</t>
  </si>
  <si>
    <t>Sign + dato</t>
  </si>
  <si>
    <t>Rad 11 til 500</t>
  </si>
  <si>
    <r>
      <rPr>
        <b/>
        <sz val="11"/>
        <color theme="1"/>
        <rFont val="Calibri"/>
        <family val="2"/>
        <scheme val="minor"/>
      </rPr>
      <t>Utslippsfaktorene</t>
    </r>
    <r>
      <rPr>
        <sz val="11"/>
        <color theme="1"/>
        <rFont val="Calibri"/>
        <family val="2"/>
        <scheme val="minor"/>
      </rPr>
      <t xml:space="preserve"> som er benyttet er basert på de bransjestandardene som var gjeldende april-juni 2023 og vil på et tidspunkt bli utdaterte. I noen tilfeller det det brukt gjennomsnittsverdier fra ulike EPD-er, disse faktorene vil kunne oppdateres fortløpende da nye EPD-er stadig kommer på markedet. Produktspesifikk data fra en enkelt EPD burde kun brukes dersom leverandør er valgt, eller om det ikke finnes annen data. </t>
    </r>
  </si>
  <si>
    <t>Rørdiameter</t>
  </si>
  <si>
    <t>RØRTYPE 1</t>
  </si>
  <si>
    <t>RØRTYPE 2</t>
  </si>
  <si>
    <t>Rørmateriale</t>
  </si>
  <si>
    <t>Fra VA-kalkulator</t>
  </si>
  <si>
    <t>Velg materiale</t>
  </si>
  <si>
    <t>BETONGTYPE 1</t>
  </si>
  <si>
    <t>BETONGTYPE 2</t>
  </si>
  <si>
    <t>Betongtype</t>
  </si>
  <si>
    <t>Mengde</t>
  </si>
  <si>
    <t>Velg type</t>
  </si>
  <si>
    <t>Tetthet betong</t>
  </si>
  <si>
    <t>NOK</t>
  </si>
  <si>
    <t>PE | 100</t>
  </si>
  <si>
    <t>PE | 150</t>
  </si>
  <si>
    <t>PE | 200</t>
  </si>
  <si>
    <t>PE | 250</t>
  </si>
  <si>
    <t>PE | 300</t>
  </si>
  <si>
    <t>PE | 400</t>
  </si>
  <si>
    <t>PE | 600</t>
  </si>
  <si>
    <t>PP | 100</t>
  </si>
  <si>
    <t>PP | 150</t>
  </si>
  <si>
    <t>PP | 200</t>
  </si>
  <si>
    <t>PP | 250</t>
  </si>
  <si>
    <t>PP | 300</t>
  </si>
  <si>
    <t>PP | 400</t>
  </si>
  <si>
    <t>PP | 600</t>
  </si>
  <si>
    <t>PVC | 100</t>
  </si>
  <si>
    <t>PVC | 150</t>
  </si>
  <si>
    <t>PVC | 200</t>
  </si>
  <si>
    <t>PVC | 250</t>
  </si>
  <si>
    <t>PVC | 300</t>
  </si>
  <si>
    <t>PVC | 400</t>
  </si>
  <si>
    <t>PVC | 600</t>
  </si>
  <si>
    <t>Betong | 100</t>
  </si>
  <si>
    <t>Betong | 150</t>
  </si>
  <si>
    <t>Betong | 200</t>
  </si>
  <si>
    <t>Betong | 250</t>
  </si>
  <si>
    <t>Betong | 300</t>
  </si>
  <si>
    <t>Betong | 400</t>
  </si>
  <si>
    <t>Betong | 600</t>
  </si>
  <si>
    <t>GRP | 100</t>
  </si>
  <si>
    <t>GRP | 150</t>
  </si>
  <si>
    <t>GRP | 200</t>
  </si>
  <si>
    <t>GRP | 250</t>
  </si>
  <si>
    <t>GRP | 300</t>
  </si>
  <si>
    <t>GRP | 400</t>
  </si>
  <si>
    <t>GRP | 600</t>
  </si>
  <si>
    <t>Støpejern | 100</t>
  </si>
  <si>
    <t>Støpejern | 150</t>
  </si>
  <si>
    <t>Støpejern | 200</t>
  </si>
  <si>
    <t>Støpejern | 250</t>
  </si>
  <si>
    <t>Støpejern | 300</t>
  </si>
  <si>
    <t>Støpejern | 400</t>
  </si>
  <si>
    <t>Støpejern | 600</t>
  </si>
  <si>
    <t>Rustfritt stål | 100</t>
  </si>
  <si>
    <t>Rustfritt stål | 150</t>
  </si>
  <si>
    <t>Rustfritt stål | 200</t>
  </si>
  <si>
    <t>Rustfritt stål | 250</t>
  </si>
  <si>
    <t>Rustfritt stål | 300</t>
  </si>
  <si>
    <t>Rustfritt stål | 400</t>
  </si>
  <si>
    <t>Rustfritt stål | 600</t>
  </si>
  <si>
    <t>Velg dimensjon</t>
  </si>
  <si>
    <t>Rørtype 1</t>
  </si>
  <si>
    <t>Rørtype 2</t>
  </si>
  <si>
    <t>PRODUKTSPESIFIKKE DATA - Bruk kun dersom leverandør er valgt</t>
  </si>
  <si>
    <t>DROPDOWNMENY - la stå</t>
  </si>
  <si>
    <t>BAKGRUNNSDATA - Fra Norsk Vann - utslippsfaktor og egenvekt kan endres på</t>
  </si>
  <si>
    <t>PUKKTYPE 1</t>
  </si>
  <si>
    <t>PUKKTYPE 2</t>
  </si>
  <si>
    <t>Pukktype</t>
  </si>
  <si>
    <t xml:space="preserve">kg CO₂e/m³ </t>
  </si>
  <si>
    <t>NEPD-1710-694-SE</t>
  </si>
  <si>
    <t>KACS 25.05.23</t>
  </si>
  <si>
    <t>NEPD-3327-1965-SE</t>
  </si>
  <si>
    <t>Betongbil</t>
  </si>
  <si>
    <t>Grovbetong ECO C28/35 XC2/XF1</t>
  </si>
  <si>
    <t>Torr mix i säck</t>
  </si>
  <si>
    <t>NEPD-3557-2149-EN</t>
  </si>
  <si>
    <t>NEPD-3814-2766-SE</t>
  </si>
  <si>
    <t>NEPD-3819-2775-SE</t>
  </si>
  <si>
    <t>NEPD-4079-3108-SE</t>
  </si>
  <si>
    <t>NEPD-4083-3096-NO</t>
  </si>
  <si>
    <t>Ferdigbetong B30 M60, produsert iht. kravene i NS-EN 206</t>
  </si>
  <si>
    <t xml:space="preserve">Ferdigbetong </t>
  </si>
  <si>
    <t>NEPD-4302-3534-NO</t>
  </si>
  <si>
    <t>NEPD-4430-3694-SE</t>
  </si>
  <si>
    <t>Ready mixed concrete C32/40 Frost 
Ready mixed concrete C32/40 Skb 
Ready mixed concrete C35/45 Frys 
Ready mixed concrete C45/55 Vct</t>
  </si>
  <si>
    <t>Finbetong B20/B30</t>
  </si>
  <si>
    <t>S-P-06392</t>
  </si>
  <si>
    <t>S-P-01573</t>
  </si>
  <si>
    <t>S-P-03798</t>
  </si>
  <si>
    <t>S-P-08193</t>
  </si>
  <si>
    <t>S-P-05203</t>
  </si>
  <si>
    <t>Ultipro Grovbetong  C32/40</t>
  </si>
  <si>
    <t>Ultipro Finbetong C32/40</t>
  </si>
  <si>
    <t>EXTRA tørre produkter i sekker</t>
  </si>
  <si>
    <t>Vanlig i boligbygging i deler hvor tørketiden er avgjørende</t>
  </si>
  <si>
    <t>Betong til bruk i konstruksjoner. Fersk betongmasse for fuger og støpegods. Spesielt beregnet for å pumpe med tilhengerpumpe (minipumpe) hvor det ofte brukes lange slangelengder.</t>
  </si>
  <si>
    <t>Klimaforbedret fabrikkbetong tilpasset primært for innemiljø beregnet for bruk i innendørs garasjer hvor det kjøres inn saltede biler.</t>
  </si>
  <si>
    <t>Klimaforbedret fabrikkbetong tilpasset primært innemiljø der betongen påvirkes kun av karbonatisering og eksponeringsklassene er innenfor XC1-XC4.</t>
  </si>
  <si>
    <t>Klimaforbedret fabrikkbetong produsert primært for strukturer utsatt for klorider og vann i kombinasjon med frost der eksponeringsklassene er XC4, XS3, XD3 og XF4</t>
  </si>
  <si>
    <t>Prefabrikert betong for betongkonstruksjoner i utemiljø utsatt for regn, snø og høy luftfuktighet og krever frostbestandig og tett betong mot klorider</t>
  </si>
  <si>
    <t xml:space="preserve">
Betong fra to forskjellige typer mobile anlegg</t>
  </si>
  <si>
    <t>Karbondioksidredusert og bindemiddeloptimalisert betong fri for ikke-fornybar naturlig sandressurs</t>
  </si>
  <si>
    <t>må blandes med vann, GWP for tørt produkt</t>
  </si>
  <si>
    <t>1 kg tørt betongprodukt gir omtrent 1,1 kg solid betong</t>
  </si>
  <si>
    <t xml:space="preserve">Produkt Thomas Betong  Thomatork 1 C50/60 VCT 0,34 </t>
  </si>
  <si>
    <t>Produkt Thomas Betong Thomagrön 4 C30/37 XC4</t>
  </si>
  <si>
    <t>Produkt Thomas Betong Thomagrön 1 C30/37</t>
  </si>
  <si>
    <t>Produkt Thomas Betong Thomafrys Grön 1 C35/45 VCT 0,40</t>
  </si>
  <si>
    <t>Produkt KP Betong Fabriksbetong C50/60 VCT 0,38</t>
  </si>
  <si>
    <t>Produkkt Jaro Lavkarbonbetong. B30 M60, 0-22, synk 200</t>
  </si>
  <si>
    <t xml:space="preserve">Produkt Gulventreprenøren GE-Skumbetong </t>
  </si>
  <si>
    <t>Produkt Alwex Transport Alwex concrete products</t>
  </si>
  <si>
    <t>Produkt Skanska Industrial Solutions Grön Anläggning C35/45 XF4</t>
  </si>
  <si>
    <t>Produkt Svenska Mobilbetongföreningen Fresh Concrete C35/45 16 S4</t>
  </si>
  <si>
    <t>PRISER</t>
  </si>
  <si>
    <t>Lavkarbonbetong - Unicon.no</t>
  </si>
  <si>
    <t>MERK enhet! Per kg</t>
  </si>
  <si>
    <t>Enhet</t>
  </si>
  <si>
    <t>Knusetrinn 1/grovknusing</t>
  </si>
  <si>
    <t>Knusetrinn 2/mellomknusing</t>
  </si>
  <si>
    <t>Knusetrinn 3/finknusing</t>
  </si>
  <si>
    <t>kg CO₂-ekv/tonn</t>
  </si>
  <si>
    <t>Sprengstein 0-600mm</t>
  </si>
  <si>
    <t>Pris eks. MVA</t>
  </si>
  <si>
    <t>Mängd</t>
  </si>
  <si>
    <t>NOK/tonn</t>
  </si>
  <si>
    <t>9 m³ / 14 tonn</t>
  </si>
  <si>
    <t>Bestill lastebil med sprengstein 0-600mm - Bjørnars Transport (bjornarstransport.no)</t>
  </si>
  <si>
    <t>Pukk 32-64mm</t>
  </si>
  <si>
    <t>Bestill lastebil med pukk 32-64mm - Bjørnars Transport (bjornarstransport.no)</t>
  </si>
  <si>
    <t xml:space="preserve">Prisen er per lass tilkjørt masse. </t>
  </si>
  <si>
    <t>Pukk 16-32mm</t>
  </si>
  <si>
    <t>Bestill lastebil med pukk 16-32mm - Bjørnars Transport (bjornarstransport.no)</t>
  </si>
  <si>
    <t>Kult 20-150mm</t>
  </si>
  <si>
    <t>Bestill lastebil med kult 20-150mm - Bjørnars Transport (bjornarstransport.no)</t>
  </si>
  <si>
    <t>Pukk 16-25 mm</t>
  </si>
  <si>
    <t>Pukk 25-63 mm</t>
  </si>
  <si>
    <t>Pukk 31,5-63 mm</t>
  </si>
  <si>
    <t>Kult 20 – 120 mm</t>
  </si>
  <si>
    <t>Maskin Kult 20 – 200 mm</t>
  </si>
  <si>
    <t>Alle priser er eksklusiv merverdiavgift, opplastet på bil.</t>
  </si>
  <si>
    <t>NS-EN 13450, Alle priser er eksklusiv merverdiavgift, opplastet på bil.</t>
  </si>
  <si>
    <t>https://www.ringknuten.no/prisliste-masser</t>
  </si>
  <si>
    <t>COWI AS, mai-juni 2023 av Karin Carlqvist, Cathrine Nøstvold, Heidi Snemyr</t>
  </si>
  <si>
    <t>Sprengstein 0-800mm</t>
  </si>
  <si>
    <t>50-149</t>
  </si>
  <si>
    <t>Pukk 2-4/5</t>
  </si>
  <si>
    <t>198-229</t>
  </si>
  <si>
    <t>Pukk 4-8</t>
  </si>
  <si>
    <t>202-229</t>
  </si>
  <si>
    <t>Pukk 8-11</t>
  </si>
  <si>
    <t>202-230</t>
  </si>
  <si>
    <t>Pukk 8-16</t>
  </si>
  <si>
    <t>155-199</t>
  </si>
  <si>
    <t>Pukk 11-16</t>
  </si>
  <si>
    <t>176-199</t>
  </si>
  <si>
    <t>Pukk 16-22</t>
  </si>
  <si>
    <t>125-176</t>
  </si>
  <si>
    <t>Pukk 25-63</t>
  </si>
  <si>
    <t>115-151</t>
  </si>
  <si>
    <t xml:space="preserve">Kult 20-120 </t>
  </si>
  <si>
    <t>93-131</t>
  </si>
  <si>
    <t>Verdi</t>
  </si>
  <si>
    <t>r</t>
  </si>
  <si>
    <t>x</t>
  </si>
  <si>
    <t>tykkelse betong</t>
  </si>
  <si>
    <t xml:space="preserve">radius kum </t>
  </si>
  <si>
    <t>y</t>
  </si>
  <si>
    <t>A1</t>
  </si>
  <si>
    <t>A2</t>
  </si>
  <si>
    <t>A3</t>
  </si>
  <si>
    <t>Astrømpe</t>
  </si>
  <si>
    <t>m²</t>
  </si>
  <si>
    <t>Vstrømpe</t>
  </si>
  <si>
    <t>h</t>
  </si>
  <si>
    <t>høyde/lengde</t>
  </si>
  <si>
    <t>Mengde strømpe</t>
  </si>
  <si>
    <t>kg</t>
  </si>
  <si>
    <t>tykkelse strømpe</t>
  </si>
  <si>
    <t xml:space="preserve">Elektristet </t>
  </si>
  <si>
    <t>kg CO₂/kWh</t>
  </si>
  <si>
    <t>Eu+NO</t>
  </si>
  <si>
    <t xml:space="preserve">60 års gjennomsnitt basert på energimiksen mellom årene 2018-2020. </t>
  </si>
  <si>
    <t>LCA study for country specific electricity mixes based on NS 3720, IEA and ecoinvent 3.6, OneClickLCA 2023</t>
  </si>
  <si>
    <t>Passord for å åpne fanene: Hamar2023</t>
  </si>
  <si>
    <t xml:space="preserve">Beregningsarket benytter en svært forenklet metode for klimagassberegninger, og anbefales dermed kun å brukes for overordnede vurderinger i tidlig fase/forprosjekt for å gi en pekepinn på hvilke tiltak som kan være effektive for å redusere klimagassutslipp i et VA-prosjekt. Beregningsarket bør kun brukes internt til beslutningstaking (ikke endelig klimadokumentasjon) og enhver bruker må kjenne til mulighetene og begrensningene dette verktøyet har. </t>
  </si>
  <si>
    <t>De to siste arkene som er blå er bakgrunnsdata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</si>
</sst>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\ %"/>
    <numFmt numFmtId="166" formatCode="#,##0.0"/>
    <numFmt numFmtId="167" formatCode="#,##0.00_ ;[Red]\-#,##0.00\ "/>
    <numFmt numFmtId="168" formatCode="0.000"/>
    <numFmt numFmtId="169" formatCode="0.00000"/>
  </numFmts>
  <fonts count="33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9"/>
      <color rgb="FF3F3F76"/>
      <name val="Verdana"/>
      <family val="2"/>
    </font>
    <font>
      <u/>
      <sz val="11"/>
      <color theme="1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rgb="FF000000"/>
      <name val="Verdana"/>
      <family val="2"/>
    </font>
    <font>
      <i/>
      <sz val="9"/>
      <color rgb="FF000000"/>
      <name val="Verdana"/>
      <family val="2"/>
    </font>
    <font>
      <b/>
      <i/>
      <sz val="9"/>
      <color rgb="FF000000"/>
      <name val="Verdana"/>
      <family val="2"/>
    </font>
    <font>
      <i/>
      <sz val="8"/>
      <color theme="1"/>
      <name val="Verdana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sz val="11"/>
      <color theme="5" tint="-0.249977111117893"/>
      <name val="Calibri"/>
      <family val="2"/>
      <scheme val="minor"/>
    </font>
    <font>
      <b/>
      <sz val="9"/>
      <color theme="1"/>
      <name val="Verdana"/>
      <family val="2"/>
    </font>
    <font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11"/>
      <color theme="1"/>
      <name val="Verdana"/>
      <family val="2"/>
    </font>
    <font>
      <sz val="11"/>
      <color theme="0"/>
      <name val="Calibri"/>
      <family val="2"/>
      <scheme val="minor"/>
    </font>
    <font>
      <sz val="11"/>
      <name val="Calibri"/>
      <family val="2"/>
    </font>
    <font>
      <i/>
      <u/>
      <sz val="9"/>
      <name val="Calibri"/>
      <family val="2"/>
      <scheme val="minor"/>
    </font>
    <font>
      <sz val="11"/>
      <color rgb="FF111111"/>
      <name val="Calibri"/>
      <family val="2"/>
      <scheme val="minor"/>
    </font>
    <font>
      <b/>
      <sz val="9"/>
      <color rgb="FFFFFFFF"/>
      <name val="Arial"/>
    </font>
    <font>
      <b/>
      <sz val="9"/>
      <color rgb="FF000000"/>
      <name val="Arial"/>
    </font>
    <font>
      <sz val="9"/>
      <color theme="1"/>
      <name val="Arial"/>
    </font>
    <font>
      <sz val="9"/>
      <color rgb="FF333333"/>
      <name val="Arial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D9D9D9"/>
        <bgColor rgb="FF000000"/>
      </patternFill>
    </fill>
    <fill>
      <patternFill patternType="solid">
        <fgColor rgb="FFFFDB81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31B18F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7F7F7F"/>
      </bottom>
      <diagonal/>
    </border>
    <border>
      <left style="medium">
        <color rgb="FF31B18F"/>
      </left>
      <right/>
      <top style="medium">
        <color rgb="FF31B18F"/>
      </top>
      <bottom/>
      <diagonal/>
    </border>
    <border>
      <left/>
      <right style="medium">
        <color rgb="FF31B18F"/>
      </right>
      <top style="medium">
        <color rgb="FF31B18F"/>
      </top>
      <bottom/>
      <diagonal/>
    </border>
    <border>
      <left style="medium">
        <color rgb="FF31B18F"/>
      </left>
      <right/>
      <top style="medium">
        <color rgb="FF31B18F"/>
      </top>
      <bottom style="medium">
        <color rgb="FF31B18F"/>
      </bottom>
      <diagonal/>
    </border>
    <border>
      <left/>
      <right style="medium">
        <color rgb="FF31B18F"/>
      </right>
      <top style="medium">
        <color rgb="FF31B18F"/>
      </top>
      <bottom style="medium">
        <color rgb="FF31B18F"/>
      </bottom>
      <diagonal/>
    </border>
    <border>
      <left style="medium">
        <color rgb="FF31B18F"/>
      </left>
      <right/>
      <top/>
      <bottom/>
      <diagonal/>
    </border>
    <border>
      <left/>
      <right style="medium">
        <color rgb="FF31B18F"/>
      </right>
      <top/>
      <bottom/>
      <diagonal/>
    </border>
    <border>
      <left style="medium">
        <color rgb="FF31B18F"/>
      </left>
      <right/>
      <top/>
      <bottom style="medium">
        <color rgb="FF31B18F"/>
      </bottom>
      <diagonal/>
    </border>
    <border>
      <left/>
      <right style="medium">
        <color rgb="FF31B18F"/>
      </right>
      <top/>
      <bottom style="medium">
        <color rgb="FF31B18F"/>
      </bottom>
      <diagonal/>
    </border>
  </borders>
  <cellStyleXfs count="7">
    <xf numFmtId="0" fontId="0" fillId="0" borderId="0"/>
    <xf numFmtId="0" fontId="7" fillId="5" borderId="3" applyNumberFormat="0" applyAlignment="0" applyProtection="0"/>
    <xf numFmtId="0" fontId="8" fillId="0" borderId="0" applyNumberFormat="0" applyFill="0" applyBorder="0" applyAlignment="0" applyProtection="0"/>
    <xf numFmtId="9" fontId="14" fillId="0" borderId="0" applyFont="0" applyFill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4" fillId="0" borderId="0"/>
  </cellStyleXfs>
  <cellXfs count="167">
    <xf numFmtId="0" fontId="0" fillId="0" borderId="0" xfId="0"/>
    <xf numFmtId="0" fontId="0" fillId="2" borderId="0" xfId="0" applyFill="1"/>
    <xf numFmtId="0" fontId="2" fillId="2" borderId="0" xfId="0" applyFont="1" applyFill="1"/>
    <xf numFmtId="0" fontId="0" fillId="2" borderId="0" xfId="0" applyFill="1" applyAlignment="1">
      <alignment horizontal="center"/>
    </xf>
    <xf numFmtId="0" fontId="5" fillId="2" borderId="0" xfId="0" applyFont="1" applyFill="1"/>
    <xf numFmtId="3" fontId="0" fillId="2" borderId="0" xfId="0" applyNumberFormat="1" applyFill="1" applyAlignment="1">
      <alignment horizontal="center"/>
    </xf>
    <xf numFmtId="3" fontId="3" fillId="4" borderId="1" xfId="0" applyNumberFormat="1" applyFont="1" applyFill="1" applyBorder="1" applyAlignment="1">
      <alignment horizontal="center"/>
    </xf>
    <xf numFmtId="3" fontId="4" fillId="4" borderId="1" xfId="0" applyNumberFormat="1" applyFont="1" applyFill="1" applyBorder="1" applyAlignment="1">
      <alignment horizontal="center"/>
    </xf>
    <xf numFmtId="4" fontId="3" fillId="4" borderId="1" xfId="0" applyNumberFormat="1" applyFont="1" applyFill="1" applyBorder="1" applyAlignment="1">
      <alignment horizontal="center"/>
    </xf>
    <xf numFmtId="3" fontId="0" fillId="4" borderId="1" xfId="0" applyNumberForma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0" fontId="2" fillId="2" borderId="2" xfId="0" applyFont="1" applyFill="1" applyBorder="1"/>
    <xf numFmtId="0" fontId="0" fillId="0" borderId="0" xfId="0" applyAlignment="1">
      <alignment vertical="center"/>
    </xf>
    <xf numFmtId="1" fontId="0" fillId="2" borderId="0" xfId="0" applyNumberFormat="1" applyFill="1" applyAlignment="1">
      <alignment horizontal="center"/>
    </xf>
    <xf numFmtId="164" fontId="0" fillId="2" borderId="0" xfId="0" applyNumberFormat="1" applyFill="1"/>
    <xf numFmtId="0" fontId="2" fillId="0" borderId="0" xfId="0" applyFont="1" applyAlignment="1">
      <alignment vertical="center"/>
    </xf>
    <xf numFmtId="0" fontId="8" fillId="2" borderId="0" xfId="2" applyFill="1"/>
    <xf numFmtId="0" fontId="5" fillId="0" borderId="0" xfId="0" applyFont="1"/>
    <xf numFmtId="3" fontId="0" fillId="0" borderId="0" xfId="0" applyNumberFormat="1"/>
    <xf numFmtId="0" fontId="8" fillId="0" borderId="0" xfId="2"/>
    <xf numFmtId="11" fontId="0" fillId="0" borderId="0" xfId="0" applyNumberFormat="1"/>
    <xf numFmtId="2" fontId="0" fillId="0" borderId="0" xfId="0" applyNumberFormat="1" applyAlignment="1">
      <alignment vertical="center"/>
    </xf>
    <xf numFmtId="11" fontId="0" fillId="0" borderId="0" xfId="0" applyNumberFormat="1" applyAlignment="1">
      <alignment vertical="center"/>
    </xf>
    <xf numFmtId="0" fontId="10" fillId="6" borderId="0" xfId="0" applyFont="1" applyFill="1" applyProtection="1">
      <protection hidden="1"/>
    </xf>
    <xf numFmtId="0" fontId="10" fillId="6" borderId="0" xfId="0" applyFont="1" applyFill="1" applyAlignment="1" applyProtection="1">
      <alignment horizontal="right"/>
      <protection hidden="1"/>
    </xf>
    <xf numFmtId="0" fontId="10" fillId="6" borderId="0" xfId="0" applyFont="1" applyFill="1" applyAlignment="1" applyProtection="1">
      <alignment horizontal="center"/>
      <protection hidden="1"/>
    </xf>
    <xf numFmtId="0" fontId="0" fillId="6" borderId="0" xfId="0" applyFill="1" applyProtection="1">
      <protection hidden="1"/>
    </xf>
    <xf numFmtId="165" fontId="0" fillId="6" borderId="0" xfId="0" applyNumberFormat="1" applyFill="1" applyProtection="1">
      <protection hidden="1"/>
    </xf>
    <xf numFmtId="0" fontId="11" fillId="6" borderId="0" xfId="0" applyFont="1" applyFill="1" applyProtection="1">
      <protection hidden="1"/>
    </xf>
    <xf numFmtId="165" fontId="10" fillId="6" borderId="0" xfId="0" applyNumberFormat="1" applyFont="1" applyFill="1" applyProtection="1">
      <protection hidden="1"/>
    </xf>
    <xf numFmtId="0" fontId="12" fillId="6" borderId="0" xfId="0" applyFont="1" applyFill="1" applyProtection="1">
      <protection hidden="1"/>
    </xf>
    <xf numFmtId="2" fontId="0" fillId="6" borderId="0" xfId="0" applyNumberFormat="1" applyFill="1" applyProtection="1">
      <protection hidden="1"/>
    </xf>
    <xf numFmtId="11" fontId="0" fillId="0" borderId="4" xfId="0" applyNumberFormat="1" applyBorder="1" applyAlignment="1">
      <alignment vertical="center"/>
    </xf>
    <xf numFmtId="0" fontId="0" fillId="0" borderId="5" xfId="0" applyBorder="1" applyAlignment="1">
      <alignment vertical="center"/>
    </xf>
    <xf numFmtId="0" fontId="13" fillId="0" borderId="0" xfId="0" applyFont="1" applyAlignment="1">
      <alignment vertical="center"/>
    </xf>
    <xf numFmtId="166" fontId="3" fillId="4" borderId="1" xfId="0" applyNumberFormat="1" applyFont="1" applyFill="1" applyBorder="1" applyAlignment="1">
      <alignment horizontal="center"/>
    </xf>
    <xf numFmtId="0" fontId="10" fillId="7" borderId="4" xfId="0" applyFont="1" applyFill="1" applyBorder="1" applyProtection="1">
      <protection hidden="1"/>
    </xf>
    <xf numFmtId="0" fontId="10" fillId="7" borderId="6" xfId="0" applyFont="1" applyFill="1" applyBorder="1" applyProtection="1">
      <protection hidden="1"/>
    </xf>
    <xf numFmtId="0" fontId="0" fillId="7" borderId="5" xfId="0" applyFill="1" applyBorder="1" applyProtection="1">
      <protection hidden="1"/>
    </xf>
    <xf numFmtId="9" fontId="0" fillId="0" borderId="0" xfId="3" applyFont="1" applyAlignment="1">
      <alignment vertical="center"/>
    </xf>
    <xf numFmtId="0" fontId="0" fillId="0" borderId="7" xfId="0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3" fontId="0" fillId="2" borderId="0" xfId="0" applyNumberFormat="1" applyFill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3" fontId="2" fillId="4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3" fontId="4" fillId="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9" fillId="0" borderId="0" xfId="0" applyFont="1"/>
    <xf numFmtId="167" fontId="0" fillId="0" borderId="0" xfId="0" applyNumberFormat="1"/>
    <xf numFmtId="167" fontId="2" fillId="2" borderId="0" xfId="0" applyNumberFormat="1" applyFont="1" applyFill="1"/>
    <xf numFmtId="167" fontId="0" fillId="2" borderId="0" xfId="0" applyNumberFormat="1" applyFill="1"/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4" fontId="3" fillId="4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168" fontId="3" fillId="4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/>
    </xf>
    <xf numFmtId="0" fontId="8" fillId="0" borderId="0" xfId="2" applyAlignment="1">
      <alignment vertical="center"/>
    </xf>
    <xf numFmtId="0" fontId="17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166" fontId="3" fillId="4" borderId="1" xfId="0" applyNumberFormat="1" applyFont="1" applyFill="1" applyBorder="1" applyAlignment="1">
      <alignment horizontal="center" vertical="center"/>
    </xf>
    <xf numFmtId="166" fontId="4" fillId="4" borderId="1" xfId="0" applyNumberFormat="1" applyFont="1" applyFill="1" applyBorder="1" applyAlignment="1">
      <alignment horizontal="center" vertical="center"/>
    </xf>
    <xf numFmtId="166" fontId="4" fillId="4" borderId="1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left" vertical="center"/>
    </xf>
    <xf numFmtId="3" fontId="0" fillId="2" borderId="0" xfId="0" applyNumberFormat="1" applyFill="1"/>
    <xf numFmtId="164" fontId="0" fillId="2" borderId="0" xfId="0" applyNumberFormat="1" applyFill="1" applyAlignment="1">
      <alignment vertical="center"/>
    </xf>
    <xf numFmtId="164" fontId="2" fillId="2" borderId="0" xfId="0" applyNumberFormat="1" applyFont="1" applyFill="1" applyAlignment="1">
      <alignment vertical="center"/>
    </xf>
    <xf numFmtId="0" fontId="8" fillId="2" borderId="0" xfId="2" applyFill="1" applyAlignment="1">
      <alignment vertical="center"/>
    </xf>
    <xf numFmtId="0" fontId="1" fillId="10" borderId="0" xfId="5" applyAlignment="1">
      <alignment horizontal="center" vertical="center"/>
    </xf>
    <xf numFmtId="2" fontId="0" fillId="2" borderId="0" xfId="0" applyNumberFormat="1" applyFill="1" applyAlignment="1">
      <alignment vertical="center"/>
    </xf>
    <xf numFmtId="11" fontId="0" fillId="2" borderId="0" xfId="0" applyNumberFormat="1" applyFill="1" applyAlignment="1">
      <alignment vertical="center"/>
    </xf>
    <xf numFmtId="11" fontId="2" fillId="2" borderId="0" xfId="0" applyNumberFormat="1" applyFont="1" applyFill="1" applyAlignment="1">
      <alignment vertical="center"/>
    </xf>
    <xf numFmtId="168" fontId="0" fillId="2" borderId="0" xfId="0" applyNumberFormat="1" applyFill="1" applyAlignment="1">
      <alignment vertical="center"/>
    </xf>
    <xf numFmtId="1" fontId="0" fillId="2" borderId="0" xfId="0" applyNumberFormat="1" applyFill="1" applyAlignment="1">
      <alignment vertical="center"/>
    </xf>
    <xf numFmtId="0" fontId="1" fillId="9" borderId="0" xfId="4" applyAlignment="1">
      <alignment vertical="center"/>
    </xf>
    <xf numFmtId="164" fontId="1" fillId="9" borderId="0" xfId="4" applyNumberFormat="1" applyAlignment="1">
      <alignment vertical="center"/>
    </xf>
    <xf numFmtId="0" fontId="20" fillId="9" borderId="0" xfId="4" applyFont="1" applyAlignment="1">
      <alignment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0" fontId="18" fillId="0" borderId="0" xfId="0" applyFont="1" applyAlignment="1">
      <alignment vertical="center" wrapText="1"/>
    </xf>
    <xf numFmtId="3" fontId="3" fillId="0" borderId="0" xfId="0" applyNumberFormat="1" applyFont="1" applyAlignment="1">
      <alignment horizontal="center"/>
    </xf>
    <xf numFmtId="0" fontId="19" fillId="0" borderId="0" xfId="0" applyFont="1"/>
    <xf numFmtId="2" fontId="0" fillId="2" borderId="0" xfId="0" applyNumberForma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14" fillId="0" borderId="0" xfId="6" applyAlignment="1">
      <alignment vertical="center"/>
    </xf>
    <xf numFmtId="168" fontId="14" fillId="0" borderId="0" xfId="6" applyNumberFormat="1" applyAlignment="1">
      <alignment vertical="center"/>
    </xf>
    <xf numFmtId="0" fontId="14" fillId="0" borderId="0" xfId="0" applyFont="1" applyAlignment="1">
      <alignment vertical="center"/>
    </xf>
    <xf numFmtId="11" fontId="14" fillId="11" borderId="4" xfId="0" applyNumberFormat="1" applyFont="1" applyFill="1" applyBorder="1" applyAlignment="1">
      <alignment vertical="center"/>
    </xf>
    <xf numFmtId="0" fontId="14" fillId="11" borderId="5" xfId="0" applyFont="1" applyFill="1" applyBorder="1" applyAlignment="1">
      <alignment vertical="center"/>
    </xf>
    <xf numFmtId="3" fontId="0" fillId="8" borderId="1" xfId="0" applyNumberFormat="1" applyFill="1" applyBorder="1" applyAlignment="1">
      <alignment horizontal="center" vertical="center"/>
    </xf>
    <xf numFmtId="166" fontId="0" fillId="8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0" borderId="0" xfId="0" applyAlignment="1">
      <alignment vertical="center" wrapText="1"/>
    </xf>
    <xf numFmtId="3" fontId="0" fillId="4" borderId="1" xfId="0" applyNumberFormat="1" applyFill="1" applyBorder="1" applyAlignment="1">
      <alignment horizontal="center" vertical="center"/>
    </xf>
    <xf numFmtId="166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2" borderId="0" xfId="0" applyFill="1" applyAlignment="1">
      <alignment vertical="center" wrapText="1"/>
    </xf>
    <xf numFmtId="0" fontId="0" fillId="3" borderId="1" xfId="0" applyFill="1" applyBorder="1"/>
    <xf numFmtId="0" fontId="0" fillId="12" borderId="1" xfId="0" applyFill="1" applyBorder="1"/>
    <xf numFmtId="0" fontId="0" fillId="2" borderId="2" xfId="0" applyFill="1" applyBorder="1"/>
    <xf numFmtId="0" fontId="0" fillId="2" borderId="0" xfId="0" applyFill="1" applyAlignment="1">
      <alignment wrapText="1"/>
    </xf>
    <xf numFmtId="0" fontId="0" fillId="2" borderId="0" xfId="0" applyFill="1" applyAlignment="1">
      <alignment vertical="top" wrapText="1"/>
    </xf>
    <xf numFmtId="0" fontId="0" fillId="2" borderId="0" xfId="0" applyFill="1" applyAlignment="1">
      <alignment horizontal="left" vertical="top" wrapText="1"/>
    </xf>
    <xf numFmtId="0" fontId="2" fillId="2" borderId="0" xfId="0" applyFont="1" applyFill="1" applyAlignment="1">
      <alignment vertical="top"/>
    </xf>
    <xf numFmtId="164" fontId="0" fillId="2" borderId="0" xfId="0" applyNumberFormat="1" applyFill="1" applyAlignment="1">
      <alignment horizontal="center"/>
    </xf>
    <xf numFmtId="0" fontId="8" fillId="2" borderId="0" xfId="2" applyFill="1" applyBorder="1"/>
    <xf numFmtId="0" fontId="25" fillId="2" borderId="0" xfId="0" applyFont="1" applyFill="1"/>
    <xf numFmtId="164" fontId="18" fillId="0" borderId="0" xfId="0" applyNumberFormat="1" applyFont="1" applyAlignment="1">
      <alignment vertical="center" wrapText="1"/>
    </xf>
    <xf numFmtId="0" fontId="21" fillId="0" borderId="0" xfId="0" applyFont="1" applyAlignment="1">
      <alignment vertical="center"/>
    </xf>
    <xf numFmtId="0" fontId="21" fillId="0" borderId="0" xfId="2" applyFont="1" applyBorder="1"/>
    <xf numFmtId="0" fontId="26" fillId="0" borderId="0" xfId="0" applyFont="1" applyAlignment="1">
      <alignment vertical="center" wrapText="1"/>
    </xf>
    <xf numFmtId="1" fontId="0" fillId="0" borderId="0" xfId="0" applyNumberFormat="1" applyAlignment="1">
      <alignment vertical="center"/>
    </xf>
    <xf numFmtId="1" fontId="18" fillId="0" borderId="0" xfId="0" applyNumberFormat="1" applyFont="1" applyAlignment="1">
      <alignment vertical="center" wrapText="1"/>
    </xf>
    <xf numFmtId="0" fontId="18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21" fillId="2" borderId="0" xfId="0" applyFont="1" applyFill="1" applyAlignment="1">
      <alignment vertical="center"/>
    </xf>
    <xf numFmtId="0" fontId="27" fillId="2" borderId="0" xfId="2" applyFont="1" applyFill="1" applyBorder="1" applyAlignment="1">
      <alignment vertical="center"/>
    </xf>
    <xf numFmtId="164" fontId="0" fillId="2" borderId="0" xfId="0" applyNumberFormat="1" applyFill="1" applyAlignment="1">
      <alignment vertical="center" wrapText="1"/>
    </xf>
    <xf numFmtId="168" fontId="0" fillId="2" borderId="0" xfId="0" applyNumberFormat="1" applyFill="1" applyAlignment="1">
      <alignment horizontal="center"/>
    </xf>
    <xf numFmtId="169" fontId="0" fillId="2" borderId="0" xfId="0" applyNumberFormat="1" applyFill="1" applyAlignment="1">
      <alignment horizontal="center"/>
    </xf>
    <xf numFmtId="0" fontId="20" fillId="2" borderId="0" xfId="0" applyFont="1" applyFill="1"/>
    <xf numFmtId="4" fontId="4" fillId="4" borderId="1" xfId="0" applyNumberFormat="1" applyFont="1" applyFill="1" applyBorder="1" applyAlignment="1">
      <alignment horizontal="center"/>
    </xf>
    <xf numFmtId="1" fontId="0" fillId="2" borderId="0" xfId="0" applyNumberFormat="1" applyFill="1"/>
    <xf numFmtId="0" fontId="2" fillId="2" borderId="0" xfId="0" applyFont="1" applyFill="1" applyAlignment="1">
      <alignment wrapText="1"/>
    </xf>
    <xf numFmtId="0" fontId="22" fillId="0" borderId="0" xfId="0" applyFont="1"/>
    <xf numFmtId="0" fontId="28" fillId="2" borderId="0" xfId="0" applyFont="1" applyFill="1"/>
    <xf numFmtId="3" fontId="0" fillId="3" borderId="1" xfId="0" applyNumberFormat="1" applyFill="1" applyBorder="1" applyAlignment="1" applyProtection="1">
      <alignment horizontal="center" vertical="center"/>
      <protection locked="0"/>
    </xf>
    <xf numFmtId="166" fontId="0" fillId="3" borderId="1" xfId="0" applyNumberFormat="1" applyFill="1" applyBorder="1" applyAlignment="1" applyProtection="1">
      <alignment horizontal="center" vertical="center"/>
      <protection locked="0"/>
    </xf>
    <xf numFmtId="2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9" fillId="13" borderId="8" xfId="0" applyFont="1" applyFill="1" applyBorder="1" applyAlignment="1">
      <alignment vertical="center" wrapText="1"/>
    </xf>
    <xf numFmtId="0" fontId="29" fillId="13" borderId="9" xfId="0" applyFont="1" applyFill="1" applyBorder="1" applyAlignment="1">
      <alignment horizontal="center" vertical="center" wrapText="1"/>
    </xf>
    <xf numFmtId="0" fontId="30" fillId="14" borderId="10" xfId="0" applyFont="1" applyFill="1" applyBorder="1" applyAlignment="1">
      <alignment vertical="center" wrapText="1"/>
    </xf>
    <xf numFmtId="0" fontId="31" fillId="0" borderId="11" xfId="0" applyFont="1" applyBorder="1" applyAlignment="1">
      <alignment horizontal="center" vertical="center" wrapText="1"/>
    </xf>
    <xf numFmtId="0" fontId="30" fillId="14" borderId="12" xfId="0" applyFont="1" applyFill="1" applyBorder="1" applyAlignment="1">
      <alignment vertical="center" wrapText="1"/>
    </xf>
    <xf numFmtId="0" fontId="31" fillId="0" borderId="13" xfId="0" applyFont="1" applyBorder="1" applyAlignment="1">
      <alignment horizontal="center" vertical="center" wrapText="1"/>
    </xf>
    <xf numFmtId="0" fontId="30" fillId="14" borderId="14" xfId="0" applyFont="1" applyFill="1" applyBorder="1" applyAlignment="1">
      <alignment vertical="center" wrapText="1"/>
    </xf>
    <xf numFmtId="0" fontId="31" fillId="0" borderId="15" xfId="0" applyFont="1" applyBorder="1" applyAlignment="1">
      <alignment horizontal="center" vertical="center" wrapText="1"/>
    </xf>
    <xf numFmtId="2" fontId="0" fillId="0" borderId="0" xfId="0" applyNumberFormat="1"/>
    <xf numFmtId="0" fontId="23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 applyAlignment="1">
      <alignment horizontal="right" vertical="center" wrapText="1"/>
    </xf>
    <xf numFmtId="0" fontId="32" fillId="0" borderId="0" xfId="0" applyFont="1"/>
    <xf numFmtId="3" fontId="21" fillId="3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3" fontId="0" fillId="3" borderId="1" xfId="0" applyNumberFormat="1" applyFill="1" applyBorder="1" applyAlignment="1" applyProtection="1">
      <alignment horizontal="center"/>
      <protection locked="0"/>
    </xf>
    <xf numFmtId="0" fontId="8" fillId="0" borderId="0" xfId="2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left" vertical="top" wrapText="1"/>
    </xf>
    <xf numFmtId="0" fontId="10" fillId="7" borderId="4" xfId="0" applyFont="1" applyFill="1" applyBorder="1" applyAlignment="1" applyProtection="1">
      <alignment horizontal="center"/>
      <protection hidden="1"/>
    </xf>
    <xf numFmtId="0" fontId="10" fillId="7" borderId="5" xfId="0" applyFont="1" applyFill="1" applyBorder="1" applyAlignment="1" applyProtection="1">
      <alignment horizontal="center"/>
      <protection hidden="1"/>
    </xf>
    <xf numFmtId="0" fontId="10" fillId="6" borderId="0" xfId="0" applyFont="1" applyFill="1" applyAlignment="1" applyProtection="1">
      <alignment horizontal="center"/>
      <protection hidden="1"/>
    </xf>
    <xf numFmtId="0" fontId="0" fillId="5" borderId="3" xfId="1" applyFont="1" applyAlignment="1">
      <alignment horizontal="center" vertical="center"/>
    </xf>
  </cellXfs>
  <cellStyles count="7">
    <cellStyle name="20% - Accent4" xfId="4" builtinId="42"/>
    <cellStyle name="60% - Accent4" xfId="5" builtinId="44"/>
    <cellStyle name="Hyperlink" xfId="2" builtinId="8"/>
    <cellStyle name="Input" xfId="1" builtinId="20"/>
    <cellStyle name="Normal" xfId="0" builtinId="0"/>
    <cellStyle name="Normal 2" xfId="6" xr:uid="{73922CBB-CF5D-4209-B090-09D842A46044}"/>
    <cellStyle name="Percent" xfId="3" builtinId="5"/>
  </cellStyles>
  <dxfs count="7"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Sheet1!$K$12</c:f>
              <c:strCache>
                <c:ptCount val="1"/>
                <c:pt idx="0">
                  <c:v>Verdi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Sheet1!$J$13:$J$20</c:f>
              <c:strCache>
                <c:ptCount val="8"/>
                <c:pt idx="0">
                  <c:v>Pukk 8-11</c:v>
                </c:pt>
                <c:pt idx="1">
                  <c:v>Pukk 4-8</c:v>
                </c:pt>
                <c:pt idx="2">
                  <c:v>Pukk 2-4/5</c:v>
                </c:pt>
                <c:pt idx="3">
                  <c:v>Pukk 11-16</c:v>
                </c:pt>
                <c:pt idx="4">
                  <c:v>Pukk 8-16</c:v>
                </c:pt>
                <c:pt idx="5">
                  <c:v>Pukk 16-22</c:v>
                </c:pt>
                <c:pt idx="6">
                  <c:v>Pukk 25-63</c:v>
                </c:pt>
                <c:pt idx="7">
                  <c:v>Kult 20-120 </c:v>
                </c:pt>
              </c:strCache>
            </c:strRef>
          </c:cat>
          <c:val>
            <c:numRef>
              <c:f>Sheet1!$K$13:$K$20</c:f>
              <c:numCache>
                <c:formatCode>General</c:formatCode>
                <c:ptCount val="8"/>
                <c:pt idx="0">
                  <c:v>216</c:v>
                </c:pt>
                <c:pt idx="1">
                  <c:v>215.5</c:v>
                </c:pt>
                <c:pt idx="2">
                  <c:v>213.5</c:v>
                </c:pt>
                <c:pt idx="3">
                  <c:v>187.5</c:v>
                </c:pt>
                <c:pt idx="4">
                  <c:v>177</c:v>
                </c:pt>
                <c:pt idx="5">
                  <c:v>150.5</c:v>
                </c:pt>
                <c:pt idx="6">
                  <c:v>133</c:v>
                </c:pt>
                <c:pt idx="7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34-4883-AF5E-7DBE10E1B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9104344"/>
        <c:axId val="1099106504"/>
      </c:barChart>
      <c:catAx>
        <c:axId val="1099104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99106504"/>
        <c:crosses val="autoZero"/>
        <c:auto val="1"/>
        <c:lblAlgn val="ctr"/>
        <c:lblOffset val="100"/>
        <c:noMultiLvlLbl val="0"/>
      </c:catAx>
      <c:valAx>
        <c:axId val="1099106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kr/tonn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99104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tmp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800100</xdr:colOff>
      <xdr:row>1</xdr:row>
      <xdr:rowOff>123825</xdr:rowOff>
    </xdr:from>
    <xdr:to>
      <xdr:col>37</xdr:col>
      <xdr:colOff>260668</xdr:colOff>
      <xdr:row>3</xdr:row>
      <xdr:rowOff>127000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E7C0A9-0560-CD42-96F8-8DFAD401F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279975" y="314325"/>
          <a:ext cx="5239067" cy="581025"/>
        </a:xfrm>
        <a:prstGeom prst="rect">
          <a:avLst/>
        </a:prstGeom>
      </xdr:spPr>
    </xdr:pic>
    <xdr:clientData/>
  </xdr:twoCellAnchor>
  <xdr:twoCellAnchor>
    <xdr:from>
      <xdr:col>11</xdr:col>
      <xdr:colOff>317500</xdr:colOff>
      <xdr:row>37</xdr:row>
      <xdr:rowOff>86591</xdr:rowOff>
    </xdr:from>
    <xdr:to>
      <xdr:col>16</xdr:col>
      <xdr:colOff>607290</xdr:colOff>
      <xdr:row>43</xdr:row>
      <xdr:rowOff>56284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98FD5AB4-BB9D-442A-A9AB-BB876B553A4B}"/>
            </a:ext>
          </a:extLst>
        </xdr:cNvPr>
        <xdr:cNvSpPr txBox="1"/>
      </xdr:nvSpPr>
      <xdr:spPr>
        <a:xfrm>
          <a:off x="10708409" y="7273636"/>
          <a:ext cx="5600699" cy="10953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sv-S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Transport forutsettes å skje med dieseldrevet lastebil/betongbil. Utslippsfaktoren er hentet fra </a:t>
          </a:r>
          <a:r>
            <a:rPr lang="sv-SE" sz="1100"/>
            <a:t>VegLCA - Materialtransport (transport av materialer inn til prosjektet).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34</xdr:row>
      <xdr:rowOff>133350</xdr:rowOff>
    </xdr:from>
    <xdr:to>
      <xdr:col>9</xdr:col>
      <xdr:colOff>1419225</xdr:colOff>
      <xdr:row>40</xdr:row>
      <xdr:rowOff>85725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F19189B-A956-4D56-86A2-A243850C84C6}"/>
            </a:ext>
          </a:extLst>
        </xdr:cNvPr>
        <xdr:cNvSpPr txBox="1"/>
      </xdr:nvSpPr>
      <xdr:spPr>
        <a:xfrm>
          <a:off x="5343525" y="6610350"/>
          <a:ext cx="5600700" cy="10953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sv-S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Transport forutsettes å skje med dieseldrevet lastebil/betongbil. Utslippsfaktoren er hentet fra </a:t>
          </a:r>
          <a:r>
            <a:rPr lang="sv-SE" sz="1100"/>
            <a:t>VegLCA - Materialtransport (transport av materialer inn til prosjektet).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476250</xdr:colOff>
      <xdr:row>28</xdr:row>
      <xdr:rowOff>9525</xdr:rowOff>
    </xdr:from>
    <xdr:to>
      <xdr:col>11</xdr:col>
      <xdr:colOff>381000</xdr:colOff>
      <xdr:row>33</xdr:row>
      <xdr:rowOff>152400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DF07652-988F-412F-A9FC-6CC295B796C8}"/>
            </a:ext>
          </a:extLst>
        </xdr:cNvPr>
        <xdr:cNvSpPr txBox="1"/>
      </xdr:nvSpPr>
      <xdr:spPr>
        <a:xfrm>
          <a:off x="5915025" y="5353050"/>
          <a:ext cx="5600700" cy="10953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sv-S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Transport forutsettes å skje med dieseldrevet lastebil/betongbil. Utslippsfaktoren er hentet fra </a:t>
          </a:r>
          <a:r>
            <a:rPr lang="sv-SE" sz="1100"/>
            <a:t>VegLCA - Materialtransport (transport av materialer inn til prosjektet).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23</xdr:row>
      <xdr:rowOff>180975</xdr:rowOff>
    </xdr:from>
    <xdr:to>
      <xdr:col>7</xdr:col>
      <xdr:colOff>2095500</xdr:colOff>
      <xdr:row>27</xdr:row>
      <xdr:rowOff>0</xdr:rowOff>
    </xdr:to>
    <xdr:sp macro="" textlink="">
      <xdr:nvSpPr>
        <xdr:cNvPr id="113" name="TextBox 1">
          <a:extLst>
            <a:ext uri="{FF2B5EF4-FFF2-40B4-BE49-F238E27FC236}">
              <a16:creationId xmlns:a16="http://schemas.microsoft.com/office/drawing/2014/main" id="{22DD6179-6C2F-037E-4B3F-89287160B320}"/>
            </a:ext>
          </a:extLst>
        </xdr:cNvPr>
        <xdr:cNvSpPr txBox="1"/>
      </xdr:nvSpPr>
      <xdr:spPr>
        <a:xfrm>
          <a:off x="8524875" y="4562475"/>
          <a:ext cx="5600700" cy="5810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sv-S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Transport forutsettes å skje med dieseldrevet lastebil/betongbil. Utslippsfaktoren er hentet fra </a:t>
          </a:r>
          <a:r>
            <a:rPr lang="sv-SE" sz="1100"/>
            <a:t>VegLCA - Materialtransport (transport av materialer inn til prosjektet).</a:t>
          </a:r>
        </a:p>
      </xdr:txBody>
    </xdr:sp>
    <xdr:clientData/>
  </xdr:twoCellAnchor>
  <xdr:twoCellAnchor editAs="oneCell">
    <xdr:from>
      <xdr:col>0</xdr:col>
      <xdr:colOff>504825</xdr:colOff>
      <xdr:row>37</xdr:row>
      <xdr:rowOff>161925</xdr:rowOff>
    </xdr:from>
    <xdr:to>
      <xdr:col>4</xdr:col>
      <xdr:colOff>419420</xdr:colOff>
      <xdr:row>60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A2B4556-7CDB-756C-5FA2-7A99B603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7210425"/>
          <a:ext cx="7763195" cy="438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23</xdr:row>
      <xdr:rowOff>180975</xdr:rowOff>
    </xdr:from>
    <xdr:to>
      <xdr:col>7</xdr:col>
      <xdr:colOff>2095500</xdr:colOff>
      <xdr:row>29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029807-03E0-4003-AC30-E8B639A1CD59}"/>
            </a:ext>
          </a:extLst>
        </xdr:cNvPr>
        <xdr:cNvSpPr txBox="1"/>
      </xdr:nvSpPr>
      <xdr:spPr>
        <a:xfrm>
          <a:off x="8429625" y="5133975"/>
          <a:ext cx="5600700" cy="109537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sv-SE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Transport forutsettes å skje med dieseldrevet lastebil/betongbil. Utslippsfaktoren er hentet fra </a:t>
          </a:r>
          <a:r>
            <a:rPr lang="sv-SE" sz="1100"/>
            <a:t>VegLCA - Materialtransport (transport av materialer inn til prosjektet).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30</xdr:row>
      <xdr:rowOff>57150</xdr:rowOff>
    </xdr:from>
    <xdr:to>
      <xdr:col>6</xdr:col>
      <xdr:colOff>495300</xdr:colOff>
      <xdr:row>55</xdr:row>
      <xdr:rowOff>104775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6224AAB-60D5-4DD9-9591-4B5ECED33E9E}"/>
            </a:ext>
          </a:extLst>
        </xdr:cNvPr>
        <xdr:cNvGrpSpPr/>
      </xdr:nvGrpSpPr>
      <xdr:grpSpPr>
        <a:xfrm>
          <a:off x="698501" y="5607050"/>
          <a:ext cx="8477249" cy="4651375"/>
          <a:chOff x="9858375" y="323850"/>
          <a:chExt cx="8677275" cy="4676775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DC75499F-AB4E-E810-33DB-5EBF3B66BC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9858375" y="323850"/>
            <a:ext cx="8648700" cy="2390775"/>
          </a:xfrm>
          <a:prstGeom prst="rect">
            <a:avLst/>
          </a:prstGeom>
        </xdr:spPr>
      </xdr:pic>
      <xdr:pic>
        <xdr:nvPicPr>
          <xdr:cNvPr id="4" name="Picture 3">
            <a:extLst>
              <a:ext uri="{FF2B5EF4-FFF2-40B4-BE49-F238E27FC236}">
                <a16:creationId xmlns:a16="http://schemas.microsoft.com/office/drawing/2014/main" id="{DA75AE5F-11D4-8EE9-E35F-2A296A9BE4F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9858375" y="2752725"/>
            <a:ext cx="8677275" cy="2247900"/>
          </a:xfrm>
          <a:prstGeom prst="rect">
            <a:avLst/>
          </a:prstGeom>
        </xdr:spPr>
      </xdr:pic>
    </xdr:grpSp>
    <xdr:clientData/>
  </xdr:twoCellAnchor>
  <xdr:twoCellAnchor editAs="oneCell">
    <xdr:from>
      <xdr:col>12</xdr:col>
      <xdr:colOff>657225</xdr:colOff>
      <xdr:row>1</xdr:row>
      <xdr:rowOff>9566</xdr:rowOff>
    </xdr:from>
    <xdr:to>
      <xdr:col>20</xdr:col>
      <xdr:colOff>653325</xdr:colOff>
      <xdr:row>3</xdr:row>
      <xdr:rowOff>119150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A6F7120-BA3A-7020-F222-C9146424E4A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70" t="1190" r="574" b="3571"/>
        <a:stretch/>
      </xdr:blipFill>
      <xdr:spPr bwMode="auto">
        <a:xfrm>
          <a:off x="13763625" y="200066"/>
          <a:ext cx="5330100" cy="4905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7</xdr:row>
      <xdr:rowOff>0</xdr:rowOff>
    </xdr:from>
    <xdr:to>
      <xdr:col>24</xdr:col>
      <xdr:colOff>161925</xdr:colOff>
      <xdr:row>27</xdr:row>
      <xdr:rowOff>116468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34CC4FE-BC41-7386-B4A1-07FDB7941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73150" y="1333500"/>
          <a:ext cx="7496175" cy="39645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533400</xdr:colOff>
      <xdr:row>13</xdr:row>
      <xdr:rowOff>190500</xdr:rowOff>
    </xdr:from>
    <xdr:to>
      <xdr:col>23</xdr:col>
      <xdr:colOff>228600</xdr:colOff>
      <xdr:row>25</xdr:row>
      <xdr:rowOff>9525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96DB09F6-6A27-7D50-E3A0-2E20A14543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000181-5A26-49DE-811C-A2388C7A7A53}" name="Table1" displayName="Table1" ref="R6:R9" totalsRowShown="0" headerRowDxfId="2" dataDxfId="1">
  <autoFilter ref="R6:R9" xr:uid="{A1000181-5A26-49DE-811C-A2388C7A7A53}"/>
  <tableColumns count="1">
    <tableColumn id="1" xr3:uid="{83E19A92-EA66-4B3D-9384-9E93F2379F00}" name="Mass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pd-norge.no/getfile.php/1324953-1668421608/EPDer/Byggevarer/Asfalt/NEPD-3651-2593_Veidekke-Ab-11-og-Ab16-160-220-Miljoasfalt--og-battransport-av-tilslag.pdf" TargetMode="External"/><Relationship Id="rId13" Type="http://schemas.openxmlformats.org/officeDocument/2006/relationships/hyperlink" Target="https://www.epd-norge.no/getfile.php/1327521-1670224871/EPDer/Byggevarer/Asfalt/NEPD-3986-3025_NCC-Ab--70-100-Bio-Pellets-Biltransport--.pdf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hyperlink" Target="https://www.epd-norge.no/getfile.php/1327560-1670225750/EPDer/Byggevarer/Asfalt/NEPD-3995-3031_NCC-Agb-160-220-Pellets.pdf" TargetMode="External"/><Relationship Id="rId7" Type="http://schemas.openxmlformats.org/officeDocument/2006/relationships/hyperlink" Target="https://www.epd-norge.no/getfile.php/1324947-1668421581/EPDer/Byggevarer/Asfalt/NEPD-3650-2594_Veidekke-Agb11-160-220-Miljoasfalt%281%29.pdf" TargetMode="External"/><Relationship Id="rId12" Type="http://schemas.openxmlformats.org/officeDocument/2006/relationships/hyperlink" Target="https://www.epd-norge.no/getfile.php/1327527-1670225027/EPDer/Byggevarer/Asfalt/NEPD-3987-3027_NCC-Ab--70-100-Pellets-Biltransport-.pdf" TargetMode="External"/><Relationship Id="rId17" Type="http://schemas.openxmlformats.org/officeDocument/2006/relationships/hyperlink" Target="https://www.asfaltgjenvinning.no/nyheter/gjenbruksveilederen" TargetMode="External"/><Relationship Id="rId2" Type="http://schemas.openxmlformats.org/officeDocument/2006/relationships/hyperlink" Target="https://www.epd-norge.no/getfile.php/1327587-1670226310/EPDer/Byggevarer/Asfalt/NEPD-3991-3035_NCC-Agb-160-220-Bio-Pellets.pdf" TargetMode="External"/><Relationship Id="rId16" Type="http://schemas.openxmlformats.org/officeDocument/2006/relationships/hyperlink" Target="https://www.epd-norge.no/getfile.php/1327494-1670223811/EPDer/Byggevarer/Asfalt/NEPD-3979-3017_NCC-Ag-Bio-LPG--.pdf" TargetMode="External"/><Relationship Id="rId1" Type="http://schemas.openxmlformats.org/officeDocument/2006/relationships/hyperlink" Target="https://www.asak.no/Produkter/Heller/Asak-Flyt" TargetMode="External"/><Relationship Id="rId6" Type="http://schemas.openxmlformats.org/officeDocument/2006/relationships/hyperlink" Target="https://www.epd-norge.no/getfile.php/1324938-1668421553/EPDer/Byggevarer/Asfalt/NEPD-3649-2595_Veidekke-Ska-16-PMB-Miljoasfalt-battransport-av-tilslag.pdf" TargetMode="External"/><Relationship Id="rId11" Type="http://schemas.openxmlformats.org/officeDocument/2006/relationships/hyperlink" Target="https://www.epd-norge.no/getfile.php/1318883-1622466887/EPDer/Byggevarer/Asfalt/NEPD-2821-1518_AG-Skanska-Gron-asfalt-BioZero-Gallivare--Lulea--Umea--Sundsvall--Borlange-och-Sodertalje-asfaltverk.pdf" TargetMode="External"/><Relationship Id="rId5" Type="http://schemas.openxmlformats.org/officeDocument/2006/relationships/hyperlink" Target="https://www.epd-norge.no/getfile.php/1324959-1668421634/EPDer/Byggevarer/Asfalt/NEPD-3652-2592_Veidekke--Ab-11-og-Ab16--70-100-Miljoasfalt-pluss.pdf" TargetMode="External"/><Relationship Id="rId15" Type="http://schemas.openxmlformats.org/officeDocument/2006/relationships/hyperlink" Target="https://www.epd-norge.no/getfile.php/1327488-1670223665/EPDer/Byggevarer/Asfalt/NEPD-3982-3016_NCC-Ag-Bio-Pellets.pdf" TargetMode="External"/><Relationship Id="rId10" Type="http://schemas.openxmlformats.org/officeDocument/2006/relationships/hyperlink" Target="https://www.epd-norge.no/getfile.php/1318892-1622467329/EPDer/Byggevarer/Asfalt/NEPD-2822-1516_ABb-Skanska-Gron-asfalt-BioZero-Gallivare--Lulea--Umea--Sundsvall--Borlange-och-Sodertalje-asfaltverk.pdf" TargetMode="External"/><Relationship Id="rId19" Type="http://schemas.openxmlformats.org/officeDocument/2006/relationships/drawing" Target="../drawings/drawing1.xml"/><Relationship Id="rId4" Type="http://schemas.openxmlformats.org/officeDocument/2006/relationships/hyperlink" Target="https://www.epd-norge.no/getfile.php/1327533-1670225163/EPDer/Byggevarer/Asfalt/NEPD-3980-3019_NCC-Ag--Pellets.pdf" TargetMode="External"/><Relationship Id="rId9" Type="http://schemas.openxmlformats.org/officeDocument/2006/relationships/hyperlink" Target="https://www.epd-norge.no/getfile.php/1324914-1668421427/EPDer/Byggevarer/Asfalt/NEPD-3645-2599_Veidekke-Ska-16-PMB-Miljoasfalt-pluss.pdf" TargetMode="External"/><Relationship Id="rId14" Type="http://schemas.openxmlformats.org/officeDocument/2006/relationships/hyperlink" Target="https://www.epd-norge.no/getfile.php/1327515-1670224626/EPDer/Byggevarer/Asfalt/NEPD-3985-3024_NCC-Ska-Pmb-Pellets-Biltransport--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s://www.epd-norge.no/getfile.php/1319810-1628772301/EPDer/Byggevarer/R%C3%B8rsystemer/NEPD-2995-1673_PVC-Sewage-pipe-160x4-7-SN8-1m-.pdf" TargetMode="External"/><Relationship Id="rId7" Type="http://schemas.openxmlformats.org/officeDocument/2006/relationships/hyperlink" Target="https://www.epd-norge.no/getfile.php/138537-1601888620/EPDer/Byggevarer/NEPD-1505-513_Glatte-grunnavl--ps--og-overvannsr--r-i-PP--------.pdf" TargetMode="External"/><Relationship Id="rId2" Type="http://schemas.openxmlformats.org/officeDocument/2006/relationships/hyperlink" Target="https://www.epd-norge.no/getfile.php/1314469-1601888764/EPDer/Byggevarer/R%C3%B8rsystemer/NEPD-2328-1070_110-3-2-6M-PVC-KABELROR-SN8-RO.pdf" TargetMode="External"/><Relationship Id="rId1" Type="http://schemas.openxmlformats.org/officeDocument/2006/relationships/hyperlink" Target="https://www.epd-norge.no/getfile.php/1319036-1622809653/EPDer/Byggevarer/R%C3%B8rsystemer/NEPD-2880-1574_PVC-Sewage-pipe-110x3-2-SN8-1m.pdf" TargetMode="External"/><Relationship Id="rId6" Type="http://schemas.openxmlformats.org/officeDocument/2006/relationships/hyperlink" Target="https://www.epd-norge.no/getfile.php/138533-1601884728/EPDer/Byggevarer/NEPD-1507-513_Pragma-spillvanns---overvanns--og-drensr--r-i-PP.pdf" TargetMode="External"/><Relationship Id="rId5" Type="http://schemas.openxmlformats.org/officeDocument/2006/relationships/hyperlink" Target="https://www.epd-norge.no/getfile.php/1319036-1622809653/EPDer/Byggevarer/R%C3%B8rsystemer/NEPD-2880-1574_PVC-Sewage-pipe-110x3-2-SN8-1m.pdf" TargetMode="External"/><Relationship Id="rId4" Type="http://schemas.openxmlformats.org/officeDocument/2006/relationships/hyperlink" Target="https://www.epd-norge.no/getfile.php/1321762-1638958512/EPDer/Byggevarer/R%C3%B8rsystemer/NEPD-3264-1905_PE-100-trykkrorsystem.pdf" TargetMode="External"/><Relationship Id="rId9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unicon.no/produkter-tjenester/lavkarbonbetong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https://webshop.bjornarstransport.no/products/pukk-16-32mm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s://webshop.bjornarstransport.no/products/pukk-32-64mm" TargetMode="External"/><Relationship Id="rId1" Type="http://schemas.openxmlformats.org/officeDocument/2006/relationships/hyperlink" Target="https://webshop.bjornarstransport.no/products/sprengstein-0-600mm" TargetMode="External"/><Relationship Id="rId6" Type="http://schemas.openxmlformats.org/officeDocument/2006/relationships/hyperlink" Target="https://www.ringknuten.no/prisliste-masser" TargetMode="External"/><Relationship Id="rId5" Type="http://schemas.openxmlformats.org/officeDocument/2006/relationships/hyperlink" Target="https://www.ringknuten.no/prisliste-masser" TargetMode="External"/><Relationship Id="rId4" Type="http://schemas.openxmlformats.org/officeDocument/2006/relationships/hyperlink" Target="https://webshop.bjornarstransport.no/products/kult-20-150mm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www.sintefbok.no/book/index/1322/utslippsfri_byggeprosess_i_oslo_konsekvensutredning" TargetMode="External"/><Relationship Id="rId1" Type="http://schemas.openxmlformats.org/officeDocument/2006/relationships/hyperlink" Target="https://lovdata.no/dokument/SF/forskrift/2004-06-01-922/KAPITTEL_5" TargetMode="External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82198-9507-4942-A469-1734C215EDB5}">
  <sheetPr>
    <tabColor theme="9"/>
  </sheetPr>
  <dimension ref="C2:D19"/>
  <sheetViews>
    <sheetView tabSelected="1" topLeftCell="A8" zoomScaleNormal="100" workbookViewId="0">
      <selection activeCell="D12" sqref="D12"/>
    </sheetView>
  </sheetViews>
  <sheetFormatPr defaultColWidth="9.1796875" defaultRowHeight="14.5" x14ac:dyDescent="0.35"/>
  <cols>
    <col min="1" max="2" width="9.1796875" style="1"/>
    <col min="3" max="3" width="17" style="1" customWidth="1"/>
    <col min="4" max="4" width="121.54296875" style="1" customWidth="1"/>
    <col min="5" max="16384" width="9.1796875" style="1"/>
  </cols>
  <sheetData>
    <row r="2" spans="3:4" x14ac:dyDescent="0.35">
      <c r="C2" s="107"/>
      <c r="D2" s="11" t="s">
        <v>367</v>
      </c>
    </row>
    <row r="3" spans="3:4" x14ac:dyDescent="0.35">
      <c r="C3" s="2" t="s">
        <v>373</v>
      </c>
      <c r="D3" s="1" t="s">
        <v>368</v>
      </c>
    </row>
    <row r="4" spans="3:4" x14ac:dyDescent="0.35">
      <c r="C4" s="2" t="s">
        <v>372</v>
      </c>
      <c r="D4" s="1" t="s">
        <v>566</v>
      </c>
    </row>
    <row r="5" spans="3:4" x14ac:dyDescent="0.35">
      <c r="D5" s="1" t="s">
        <v>607</v>
      </c>
    </row>
    <row r="8" spans="3:4" x14ac:dyDescent="0.35">
      <c r="C8" s="105"/>
      <c r="D8" s="1" t="s">
        <v>369</v>
      </c>
    </row>
    <row r="9" spans="3:4" x14ac:dyDescent="0.35">
      <c r="C9" s="106"/>
      <c r="D9" s="1" t="s">
        <v>370</v>
      </c>
    </row>
    <row r="11" spans="3:4" x14ac:dyDescent="0.35">
      <c r="D11" s="1" t="s">
        <v>609</v>
      </c>
    </row>
    <row r="14" spans="3:4" ht="29" x14ac:dyDescent="0.35">
      <c r="C14" s="111" t="s">
        <v>371</v>
      </c>
      <c r="D14" s="110" t="s">
        <v>374</v>
      </c>
    </row>
    <row r="18" spans="3:4" ht="58" x14ac:dyDescent="0.35">
      <c r="C18" s="111" t="s">
        <v>375</v>
      </c>
      <c r="D18" s="109" t="s">
        <v>608</v>
      </c>
    </row>
    <row r="19" spans="3:4" ht="64.5" customHeight="1" x14ac:dyDescent="0.35">
      <c r="D19" s="108" t="s">
        <v>419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6FEC5-191D-4394-9BB4-0B87A522DD2F}">
  <sheetPr>
    <tabColor theme="4" tint="0.59999389629810485"/>
  </sheetPr>
  <dimension ref="B2:R46"/>
  <sheetViews>
    <sheetView showGridLines="0" zoomScaleNormal="100" workbookViewId="0">
      <selection activeCell="O48" sqref="O48"/>
    </sheetView>
  </sheetViews>
  <sheetFormatPr defaultColWidth="9.1796875" defaultRowHeight="14.5" x14ac:dyDescent="0.35"/>
  <cols>
    <col min="1" max="1" width="3.453125" customWidth="1"/>
    <col min="2" max="2" width="37.7265625" bestFit="1" customWidth="1"/>
    <col min="3" max="3" width="8.54296875" style="20" bestFit="1" customWidth="1"/>
    <col min="4" max="4" width="11.1796875" bestFit="1" customWidth="1"/>
    <col min="5" max="5" width="25.453125" style="50" bestFit="1" customWidth="1"/>
    <col min="6" max="6" width="8.453125" bestFit="1" customWidth="1"/>
    <col min="7" max="7" width="28.1796875" bestFit="1" customWidth="1"/>
    <col min="8" max="8" width="8.453125" style="51" bestFit="1" customWidth="1"/>
    <col min="9" max="9" width="11" bestFit="1" customWidth="1"/>
    <col min="10" max="10" width="8.453125" bestFit="1" customWidth="1"/>
    <col min="12" max="12" width="36" bestFit="1" customWidth="1"/>
    <col min="13" max="13" width="5" bestFit="1" customWidth="1"/>
    <col min="14" max="14" width="2.54296875" bestFit="1" customWidth="1"/>
    <col min="16" max="16" width="44.453125" bestFit="1" customWidth="1"/>
    <col min="17" max="17" width="5.453125" style="18" bestFit="1" customWidth="1"/>
    <col min="18" max="18" width="3.54296875" bestFit="1" customWidth="1"/>
  </cols>
  <sheetData>
    <row r="2" spans="2:18" ht="18.5" x14ac:dyDescent="0.45">
      <c r="B2" s="49" t="s">
        <v>276</v>
      </c>
      <c r="G2" s="49" t="s">
        <v>277</v>
      </c>
      <c r="L2" s="49" t="s">
        <v>278</v>
      </c>
      <c r="P2" s="49" t="s">
        <v>279</v>
      </c>
    </row>
    <row r="3" spans="2:18" x14ac:dyDescent="0.35">
      <c r="B3" t="s">
        <v>280</v>
      </c>
      <c r="C3" s="20">
        <v>3.6775000000000002E-3</v>
      </c>
      <c r="D3" t="s">
        <v>75</v>
      </c>
      <c r="E3" s="50" t="s">
        <v>281</v>
      </c>
      <c r="G3" t="s">
        <v>143</v>
      </c>
      <c r="H3" s="51">
        <v>1.629</v>
      </c>
      <c r="I3" t="s">
        <v>197</v>
      </c>
      <c r="J3" s="17" t="s">
        <v>181</v>
      </c>
      <c r="L3" t="s">
        <v>282</v>
      </c>
      <c r="M3">
        <v>0.15</v>
      </c>
      <c r="N3" t="s">
        <v>30</v>
      </c>
      <c r="P3" t="s">
        <v>283</v>
      </c>
      <c r="Q3" s="18">
        <v>20</v>
      </c>
      <c r="R3" t="s">
        <v>21</v>
      </c>
    </row>
    <row r="4" spans="2:18" x14ac:dyDescent="0.35">
      <c r="B4" t="s">
        <v>284</v>
      </c>
      <c r="C4" s="20">
        <v>3.15E-3</v>
      </c>
      <c r="D4" t="s">
        <v>75</v>
      </c>
      <c r="E4" s="50" t="s">
        <v>285</v>
      </c>
      <c r="G4" t="s">
        <v>183</v>
      </c>
      <c r="H4" s="51">
        <v>1.55</v>
      </c>
      <c r="I4" t="s">
        <v>197</v>
      </c>
      <c r="J4" s="17" t="s">
        <v>181</v>
      </c>
      <c r="L4" t="s">
        <v>286</v>
      </c>
      <c r="M4">
        <v>0.13</v>
      </c>
      <c r="N4" t="s">
        <v>30</v>
      </c>
      <c r="P4" t="s">
        <v>287</v>
      </c>
      <c r="Q4" s="18">
        <v>50</v>
      </c>
      <c r="R4" t="s">
        <v>21</v>
      </c>
    </row>
    <row r="5" spans="2:18" x14ac:dyDescent="0.35">
      <c r="G5" t="s">
        <v>36</v>
      </c>
      <c r="H5" s="51">
        <v>2.5</v>
      </c>
      <c r="I5" t="s">
        <v>288</v>
      </c>
      <c r="J5" s="17" t="s">
        <v>181</v>
      </c>
      <c r="L5" t="s">
        <v>289</v>
      </c>
      <c r="M5">
        <v>0.04</v>
      </c>
      <c r="N5" t="s">
        <v>30</v>
      </c>
      <c r="P5" t="s">
        <v>290</v>
      </c>
      <c r="Q5" s="18">
        <v>50</v>
      </c>
      <c r="R5" t="s">
        <v>21</v>
      </c>
    </row>
    <row r="6" spans="2:18" x14ac:dyDescent="0.35">
      <c r="B6" t="s">
        <v>291</v>
      </c>
      <c r="C6" s="20">
        <v>164.81210191082801</v>
      </c>
      <c r="D6" t="s">
        <v>292</v>
      </c>
      <c r="E6" s="50" t="s">
        <v>285</v>
      </c>
      <c r="G6" t="s">
        <v>40</v>
      </c>
      <c r="H6" s="51">
        <v>2.4</v>
      </c>
      <c r="I6" t="s">
        <v>288</v>
      </c>
      <c r="J6" s="17" t="s">
        <v>181</v>
      </c>
      <c r="L6" t="s">
        <v>293</v>
      </c>
      <c r="M6">
        <v>0.04</v>
      </c>
      <c r="N6" t="s">
        <v>30</v>
      </c>
      <c r="P6" t="s">
        <v>294</v>
      </c>
      <c r="Q6" s="18">
        <v>500</v>
      </c>
      <c r="R6" t="s">
        <v>21</v>
      </c>
    </row>
    <row r="7" spans="2:18" x14ac:dyDescent="0.35">
      <c r="B7" t="s">
        <v>295</v>
      </c>
      <c r="C7" s="20">
        <v>145.30573248407643</v>
      </c>
      <c r="D7" t="s">
        <v>292</v>
      </c>
      <c r="E7" s="50" t="s">
        <v>285</v>
      </c>
      <c r="G7" t="s">
        <v>296</v>
      </c>
      <c r="H7" s="51">
        <v>0.35</v>
      </c>
      <c r="I7" t="s">
        <v>288</v>
      </c>
      <c r="J7" s="17" t="s">
        <v>181</v>
      </c>
      <c r="L7" t="s">
        <v>297</v>
      </c>
      <c r="M7">
        <v>0.08</v>
      </c>
      <c r="N7" t="s">
        <v>30</v>
      </c>
      <c r="P7" t="s">
        <v>298</v>
      </c>
      <c r="Q7" s="18">
        <v>200</v>
      </c>
      <c r="R7" t="s">
        <v>21</v>
      </c>
    </row>
    <row r="8" spans="2:18" x14ac:dyDescent="0.35">
      <c r="B8" t="s">
        <v>299</v>
      </c>
      <c r="C8" s="20">
        <v>117.99681528662421</v>
      </c>
      <c r="D8" t="s">
        <v>292</v>
      </c>
      <c r="E8" s="50" t="s">
        <v>285</v>
      </c>
      <c r="G8" t="s">
        <v>300</v>
      </c>
      <c r="H8" s="51">
        <v>325</v>
      </c>
      <c r="I8" t="s">
        <v>301</v>
      </c>
      <c r="J8" s="17" t="s">
        <v>181</v>
      </c>
      <c r="L8" t="s">
        <v>302</v>
      </c>
      <c r="M8">
        <v>0.1</v>
      </c>
      <c r="N8" t="s">
        <v>30</v>
      </c>
      <c r="P8" t="s">
        <v>303</v>
      </c>
      <c r="Q8" s="18">
        <v>50</v>
      </c>
      <c r="R8" t="s">
        <v>21</v>
      </c>
    </row>
    <row r="9" spans="2:18" x14ac:dyDescent="0.35">
      <c r="B9" t="s">
        <v>304</v>
      </c>
      <c r="C9" s="20">
        <v>176.515923566879</v>
      </c>
      <c r="D9" t="s">
        <v>292</v>
      </c>
      <c r="E9" s="50" t="s">
        <v>285</v>
      </c>
      <c r="G9" t="s">
        <v>305</v>
      </c>
      <c r="H9" s="51">
        <v>180</v>
      </c>
      <c r="I9" t="s">
        <v>301</v>
      </c>
      <c r="J9" s="17" t="s">
        <v>181</v>
      </c>
      <c r="L9" t="s">
        <v>306</v>
      </c>
      <c r="M9">
        <v>0.1</v>
      </c>
      <c r="N9" t="s">
        <v>30</v>
      </c>
      <c r="P9" t="s">
        <v>307</v>
      </c>
      <c r="Q9" s="18">
        <v>1600</v>
      </c>
      <c r="R9" t="s">
        <v>21</v>
      </c>
    </row>
    <row r="10" spans="2:18" x14ac:dyDescent="0.35">
      <c r="B10" t="s">
        <v>308</v>
      </c>
      <c r="C10" s="20">
        <v>149.20700636942675</v>
      </c>
      <c r="D10" t="s">
        <v>292</v>
      </c>
      <c r="E10" s="50" t="s">
        <v>285</v>
      </c>
      <c r="G10" t="s">
        <v>41</v>
      </c>
      <c r="H10" s="51">
        <v>30</v>
      </c>
      <c r="I10" t="s">
        <v>301</v>
      </c>
      <c r="J10" s="17" t="s">
        <v>181</v>
      </c>
      <c r="P10" t="s">
        <v>309</v>
      </c>
      <c r="Q10" s="18">
        <v>1600</v>
      </c>
      <c r="R10" t="s">
        <v>21</v>
      </c>
    </row>
    <row r="11" spans="2:18" x14ac:dyDescent="0.35">
      <c r="B11" t="s">
        <v>310</v>
      </c>
      <c r="C11" s="20">
        <v>121.8980891719745</v>
      </c>
      <c r="D11" t="s">
        <v>292</v>
      </c>
      <c r="E11" s="50" t="s">
        <v>285</v>
      </c>
      <c r="G11" t="s">
        <v>42</v>
      </c>
      <c r="H11" s="51">
        <v>35</v>
      </c>
      <c r="I11" t="s">
        <v>301</v>
      </c>
      <c r="J11" s="17" t="s">
        <v>181</v>
      </c>
      <c r="P11" t="s">
        <v>311</v>
      </c>
      <c r="Q11" s="18">
        <v>1600</v>
      </c>
      <c r="R11" t="s">
        <v>21</v>
      </c>
    </row>
    <row r="12" spans="2:18" x14ac:dyDescent="0.35">
      <c r="B12" t="s">
        <v>312</v>
      </c>
      <c r="C12" s="20">
        <v>180.41719745222929</v>
      </c>
      <c r="D12" t="s">
        <v>292</v>
      </c>
      <c r="E12" s="50" t="s">
        <v>285</v>
      </c>
      <c r="G12" t="s">
        <v>313</v>
      </c>
      <c r="H12" s="51">
        <v>35</v>
      </c>
      <c r="I12" t="s">
        <v>301</v>
      </c>
      <c r="J12" s="17" t="s">
        <v>181</v>
      </c>
      <c r="P12" t="s">
        <v>314</v>
      </c>
      <c r="Q12" s="18">
        <v>500</v>
      </c>
      <c r="R12" t="s">
        <v>21</v>
      </c>
    </row>
    <row r="13" spans="2:18" x14ac:dyDescent="0.35">
      <c r="B13" t="s">
        <v>315</v>
      </c>
      <c r="C13" s="20">
        <v>153.10828025477707</v>
      </c>
      <c r="D13" t="s">
        <v>292</v>
      </c>
      <c r="E13" s="50" t="s">
        <v>285</v>
      </c>
      <c r="G13" t="s">
        <v>316</v>
      </c>
      <c r="H13" s="51">
        <v>1</v>
      </c>
      <c r="I13" t="s">
        <v>317</v>
      </c>
      <c r="J13" s="17" t="s">
        <v>181</v>
      </c>
      <c r="P13" t="s">
        <v>318</v>
      </c>
      <c r="Q13" s="18">
        <v>200</v>
      </c>
      <c r="R13" t="s">
        <v>21</v>
      </c>
    </row>
    <row r="14" spans="2:18" x14ac:dyDescent="0.35">
      <c r="B14" t="s">
        <v>319</v>
      </c>
      <c r="C14" s="20">
        <v>125.79936305732485</v>
      </c>
      <c r="D14" t="s">
        <v>292</v>
      </c>
      <c r="E14" s="50" t="s">
        <v>285</v>
      </c>
      <c r="G14" t="s">
        <v>320</v>
      </c>
      <c r="H14" s="51">
        <v>470</v>
      </c>
      <c r="I14" t="s">
        <v>301</v>
      </c>
      <c r="J14" s="17" t="s">
        <v>181</v>
      </c>
      <c r="P14" t="s">
        <v>321</v>
      </c>
      <c r="Q14" s="18">
        <v>1600</v>
      </c>
      <c r="R14" t="s">
        <v>21</v>
      </c>
    </row>
    <row r="15" spans="2:18" x14ac:dyDescent="0.35">
      <c r="G15" t="s">
        <v>290</v>
      </c>
      <c r="H15" s="51">
        <v>2.4</v>
      </c>
      <c r="I15" t="s">
        <v>288</v>
      </c>
      <c r="J15" s="17" t="s">
        <v>181</v>
      </c>
      <c r="P15" t="s">
        <v>183</v>
      </c>
      <c r="Q15" s="18">
        <v>50</v>
      </c>
      <c r="R15" t="s">
        <v>21</v>
      </c>
    </row>
    <row r="16" spans="2:18" x14ac:dyDescent="0.35">
      <c r="B16" t="s">
        <v>322</v>
      </c>
      <c r="C16" s="20">
        <v>280</v>
      </c>
      <c r="D16" t="s">
        <v>198</v>
      </c>
      <c r="E16" s="50" t="s">
        <v>285</v>
      </c>
      <c r="G16" t="s">
        <v>323</v>
      </c>
      <c r="H16" s="51">
        <v>1.35</v>
      </c>
      <c r="I16" t="s">
        <v>288</v>
      </c>
      <c r="J16" s="17" t="s">
        <v>181</v>
      </c>
      <c r="P16" t="s">
        <v>324</v>
      </c>
      <c r="Q16" s="18">
        <v>500</v>
      </c>
      <c r="R16" t="s">
        <v>21</v>
      </c>
    </row>
    <row r="17" spans="2:18" x14ac:dyDescent="0.35">
      <c r="B17" t="s">
        <v>325</v>
      </c>
      <c r="C17" s="20">
        <v>230</v>
      </c>
      <c r="D17" t="s">
        <v>198</v>
      </c>
      <c r="E17" s="50" t="s">
        <v>285</v>
      </c>
      <c r="G17" t="s">
        <v>324</v>
      </c>
      <c r="H17" s="51">
        <v>2700</v>
      </c>
      <c r="I17" t="s">
        <v>301</v>
      </c>
      <c r="J17" s="17" t="s">
        <v>181</v>
      </c>
      <c r="P17" t="s">
        <v>326</v>
      </c>
      <c r="Q17" s="18">
        <v>50</v>
      </c>
      <c r="R17" t="s">
        <v>21</v>
      </c>
    </row>
    <row r="18" spans="2:18" x14ac:dyDescent="0.35">
      <c r="B18" t="s">
        <v>327</v>
      </c>
      <c r="C18" s="20">
        <v>200</v>
      </c>
      <c r="D18" t="s">
        <v>198</v>
      </c>
      <c r="E18" s="50" t="s">
        <v>285</v>
      </c>
      <c r="G18" t="s">
        <v>328</v>
      </c>
      <c r="H18" s="51">
        <v>8940</v>
      </c>
      <c r="I18" t="s">
        <v>301</v>
      </c>
      <c r="J18" s="17" t="s">
        <v>181</v>
      </c>
    </row>
    <row r="19" spans="2:18" x14ac:dyDescent="0.35">
      <c r="B19" t="s">
        <v>329</v>
      </c>
      <c r="C19" s="20">
        <v>330</v>
      </c>
      <c r="D19" t="s">
        <v>198</v>
      </c>
      <c r="E19" s="50" t="s">
        <v>285</v>
      </c>
      <c r="G19" t="s">
        <v>330</v>
      </c>
      <c r="H19" s="51">
        <v>7850</v>
      </c>
      <c r="I19" t="s">
        <v>301</v>
      </c>
      <c r="J19" s="17" t="s">
        <v>181</v>
      </c>
    </row>
    <row r="20" spans="2:18" x14ac:dyDescent="0.35">
      <c r="B20" t="s">
        <v>331</v>
      </c>
      <c r="C20" s="20">
        <v>280</v>
      </c>
      <c r="D20" t="s">
        <v>198</v>
      </c>
      <c r="E20" s="50" t="s">
        <v>285</v>
      </c>
      <c r="G20" t="s">
        <v>332</v>
      </c>
      <c r="H20" s="51">
        <v>7135</v>
      </c>
      <c r="I20" t="s">
        <v>301</v>
      </c>
      <c r="J20" s="17" t="s">
        <v>181</v>
      </c>
    </row>
    <row r="21" spans="2:18" x14ac:dyDescent="0.35">
      <c r="B21" t="s">
        <v>333</v>
      </c>
      <c r="C21" s="20">
        <v>210</v>
      </c>
      <c r="D21" t="s">
        <v>198</v>
      </c>
      <c r="E21" s="50" t="s">
        <v>285</v>
      </c>
      <c r="G21" t="s">
        <v>298</v>
      </c>
      <c r="H21" s="51">
        <v>2.512</v>
      </c>
      <c r="I21" t="s">
        <v>288</v>
      </c>
      <c r="J21" s="17" t="s">
        <v>181</v>
      </c>
    </row>
    <row r="22" spans="2:18" x14ac:dyDescent="0.35">
      <c r="B22" t="s">
        <v>334</v>
      </c>
      <c r="C22" s="20">
        <v>360</v>
      </c>
      <c r="D22" t="s">
        <v>198</v>
      </c>
      <c r="E22" s="50" t="s">
        <v>285</v>
      </c>
    </row>
    <row r="23" spans="2:18" x14ac:dyDescent="0.35">
      <c r="B23" t="s">
        <v>335</v>
      </c>
      <c r="C23" s="20">
        <v>290</v>
      </c>
      <c r="D23" t="s">
        <v>198</v>
      </c>
      <c r="E23" s="50" t="s">
        <v>285</v>
      </c>
    </row>
    <row r="24" spans="2:18" x14ac:dyDescent="0.35">
      <c r="B24" t="s">
        <v>336</v>
      </c>
      <c r="C24" s="20">
        <v>220</v>
      </c>
      <c r="D24" t="s">
        <v>198</v>
      </c>
      <c r="E24" s="50" t="s">
        <v>285</v>
      </c>
    </row>
    <row r="25" spans="2:18" x14ac:dyDescent="0.35">
      <c r="B25" t="s">
        <v>337</v>
      </c>
      <c r="C25" s="20">
        <v>370</v>
      </c>
      <c r="D25" t="s">
        <v>198</v>
      </c>
      <c r="E25" s="50" t="s">
        <v>285</v>
      </c>
    </row>
    <row r="26" spans="2:18" x14ac:dyDescent="0.35">
      <c r="B26" t="s">
        <v>338</v>
      </c>
      <c r="C26" s="20">
        <v>300</v>
      </c>
      <c r="D26" t="s">
        <v>198</v>
      </c>
      <c r="E26" s="50" t="s">
        <v>285</v>
      </c>
    </row>
    <row r="27" spans="2:18" x14ac:dyDescent="0.35">
      <c r="B27" t="s">
        <v>339</v>
      </c>
      <c r="C27" s="20">
        <v>230</v>
      </c>
      <c r="D27" t="s">
        <v>198</v>
      </c>
      <c r="E27" s="50" t="s">
        <v>285</v>
      </c>
    </row>
    <row r="29" spans="2:18" ht="18.5" x14ac:dyDescent="0.45">
      <c r="B29" t="s">
        <v>340</v>
      </c>
      <c r="C29" s="20">
        <v>240</v>
      </c>
      <c r="D29" t="s">
        <v>198</v>
      </c>
      <c r="E29" s="50" t="s">
        <v>285</v>
      </c>
      <c r="G29" s="49" t="s">
        <v>11</v>
      </c>
      <c r="H29" s="52"/>
      <c r="I29" s="2"/>
    </row>
    <row r="30" spans="2:18" x14ac:dyDescent="0.35">
      <c r="G30" s="1" t="s">
        <v>12</v>
      </c>
      <c r="H30" s="53">
        <v>0.16400000000000001</v>
      </c>
      <c r="I30" s="1" t="s">
        <v>13</v>
      </c>
    </row>
    <row r="31" spans="2:18" x14ac:dyDescent="0.35">
      <c r="B31" t="s">
        <v>341</v>
      </c>
      <c r="C31" s="20">
        <v>2.5137727272727273</v>
      </c>
      <c r="D31" t="s">
        <v>75</v>
      </c>
      <c r="E31" s="50" t="s">
        <v>285</v>
      </c>
      <c r="G31" s="1" t="s">
        <v>15</v>
      </c>
      <c r="H31" s="53">
        <v>3.4599999999999999E-2</v>
      </c>
      <c r="I31" s="1" t="s">
        <v>13</v>
      </c>
    </row>
    <row r="32" spans="2:18" x14ac:dyDescent="0.35">
      <c r="B32" t="s">
        <v>342</v>
      </c>
      <c r="C32" s="20">
        <v>0.56630000000000003</v>
      </c>
      <c r="D32" t="s">
        <v>75</v>
      </c>
      <c r="E32" s="50" t="s">
        <v>285</v>
      </c>
      <c r="G32" s="1" t="s">
        <v>18</v>
      </c>
      <c r="H32" s="53">
        <v>1.7516249999999997E-2</v>
      </c>
      <c r="I32" s="1" t="s">
        <v>13</v>
      </c>
    </row>
    <row r="33" spans="2:9" x14ac:dyDescent="0.35">
      <c r="B33" t="s">
        <v>343</v>
      </c>
      <c r="C33" s="20">
        <v>0.56999999999999995</v>
      </c>
      <c r="D33" t="s">
        <v>75</v>
      </c>
      <c r="E33" s="50" t="s">
        <v>344</v>
      </c>
      <c r="G33" s="1" t="s">
        <v>19</v>
      </c>
      <c r="H33" s="53">
        <v>8.4000000000000003E-4</v>
      </c>
      <c r="I33" s="1" t="s">
        <v>13</v>
      </c>
    </row>
    <row r="34" spans="2:9" x14ac:dyDescent="0.35">
      <c r="G34" s="1" t="s">
        <v>22</v>
      </c>
      <c r="H34" s="53">
        <v>8.3999999999999995E-3</v>
      </c>
      <c r="I34" s="1" t="s">
        <v>13</v>
      </c>
    </row>
    <row r="35" spans="2:9" x14ac:dyDescent="0.35">
      <c r="B35" t="s">
        <v>345</v>
      </c>
      <c r="C35" s="20">
        <v>0.76</v>
      </c>
      <c r="D35" t="s">
        <v>75</v>
      </c>
      <c r="E35" s="50" t="s">
        <v>285</v>
      </c>
      <c r="F35" s="20">
        <f>C35*1000</f>
        <v>760</v>
      </c>
    </row>
    <row r="36" spans="2:9" x14ac:dyDescent="0.35">
      <c r="B36" t="s">
        <v>346</v>
      </c>
      <c r="C36" s="20">
        <v>0.64</v>
      </c>
      <c r="D36" t="s">
        <v>75</v>
      </c>
      <c r="E36" s="50" t="s">
        <v>285</v>
      </c>
      <c r="F36" s="20">
        <f t="shared" ref="F36:F37" si="0">C36*1000</f>
        <v>640</v>
      </c>
      <c r="G36" t="s">
        <v>347</v>
      </c>
      <c r="H36" s="51">
        <v>3.24</v>
      </c>
      <c r="I36" t="s">
        <v>348</v>
      </c>
    </row>
    <row r="37" spans="2:9" x14ac:dyDescent="0.35">
      <c r="B37" t="s">
        <v>349</v>
      </c>
      <c r="C37" s="20">
        <v>0.3</v>
      </c>
      <c r="D37" t="s">
        <v>75</v>
      </c>
      <c r="E37" s="50" t="s">
        <v>285</v>
      </c>
      <c r="F37" s="20">
        <f t="shared" si="0"/>
        <v>300</v>
      </c>
      <c r="G37" t="s">
        <v>350</v>
      </c>
      <c r="H37" s="51">
        <v>1.92</v>
      </c>
      <c r="I37" t="s">
        <v>348</v>
      </c>
    </row>
    <row r="38" spans="2:9" x14ac:dyDescent="0.35">
      <c r="G38" t="s">
        <v>351</v>
      </c>
      <c r="H38" s="51">
        <v>0.97199999999999998</v>
      </c>
      <c r="I38" t="s">
        <v>348</v>
      </c>
    </row>
    <row r="39" spans="2:9" x14ac:dyDescent="0.35">
      <c r="G39" t="s">
        <v>352</v>
      </c>
      <c r="H39" s="51">
        <v>0.12839999999999999</v>
      </c>
      <c r="I39" t="s">
        <v>348</v>
      </c>
    </row>
    <row r="40" spans="2:9" x14ac:dyDescent="0.35">
      <c r="G40" t="s">
        <v>353</v>
      </c>
      <c r="H40" s="51">
        <v>1.2839999999999998</v>
      </c>
      <c r="I40" t="s">
        <v>348</v>
      </c>
    </row>
    <row r="42" spans="2:9" x14ac:dyDescent="0.35">
      <c r="G42" t="s">
        <v>354</v>
      </c>
      <c r="H42" s="51">
        <v>3.24</v>
      </c>
      <c r="I42" t="s">
        <v>348</v>
      </c>
    </row>
    <row r="43" spans="2:9" x14ac:dyDescent="0.35">
      <c r="G43" t="s">
        <v>355</v>
      </c>
      <c r="H43" s="51">
        <v>1.92</v>
      </c>
      <c r="I43" t="s">
        <v>348</v>
      </c>
    </row>
    <row r="44" spans="2:9" x14ac:dyDescent="0.35">
      <c r="G44" t="s">
        <v>356</v>
      </c>
      <c r="H44" s="51">
        <v>0.97199999999999998</v>
      </c>
      <c r="I44" t="s">
        <v>348</v>
      </c>
    </row>
    <row r="45" spans="2:9" x14ac:dyDescent="0.35">
      <c r="G45" t="s">
        <v>357</v>
      </c>
      <c r="H45" s="51">
        <v>0.12839999999999999</v>
      </c>
      <c r="I45" t="s">
        <v>348</v>
      </c>
    </row>
    <row r="46" spans="2:9" x14ac:dyDescent="0.35">
      <c r="G46" t="s">
        <v>358</v>
      </c>
      <c r="H46" s="51">
        <v>1.2839999999999998</v>
      </c>
      <c r="I46" t="s">
        <v>348</v>
      </c>
    </row>
  </sheetData>
  <sheetProtection algorithmName="SHA-512" hashValue="uiHps98GU07AMg8Y+t4xTp5xfGPF39S1a5gjA0Vl5ZPbM6gA2YXYiEtJMH6uEzN2fVdDaoEOONkswH2nqyDrBg==" saltValue="NQz9mldz9+3Rz90bLcNOrw==" spinCount="100000" sheet="1" objects="1" scenarios="1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6FD6E-FDE1-4D3E-AEB2-699D69A48861}">
  <sheetPr>
    <tabColor theme="9" tint="0.79998168889431442"/>
  </sheetPr>
  <dimension ref="E3:W44"/>
  <sheetViews>
    <sheetView workbookViewId="0"/>
  </sheetViews>
  <sheetFormatPr defaultRowHeight="14.5" x14ac:dyDescent="0.35"/>
  <cols>
    <col min="11" max="11" width="21.81640625" customWidth="1"/>
    <col min="12" max="12" width="15.1796875" bestFit="1" customWidth="1"/>
  </cols>
  <sheetData>
    <row r="3" spans="5:23" x14ac:dyDescent="0.35">
      <c r="R3">
        <f>V3*3000</f>
        <v>34.5</v>
      </c>
      <c r="U3" t="s">
        <v>602</v>
      </c>
      <c r="V3">
        <v>1.15E-2</v>
      </c>
      <c r="W3" t="s">
        <v>603</v>
      </c>
    </row>
    <row r="4" spans="5:23" ht="15" thickBot="1" x14ac:dyDescent="0.4">
      <c r="R4">
        <f>3000*V4</f>
        <v>107.99999999999999</v>
      </c>
      <c r="U4" t="s">
        <v>604</v>
      </c>
      <c r="V4">
        <v>3.5999999999999997E-2</v>
      </c>
      <c r="W4" t="s">
        <v>603</v>
      </c>
    </row>
    <row r="5" spans="5:23" ht="35" thickBot="1" x14ac:dyDescent="0.4">
      <c r="E5" s="138" t="s">
        <v>567</v>
      </c>
      <c r="F5" s="139" t="s">
        <v>568</v>
      </c>
      <c r="U5" t="s">
        <v>605</v>
      </c>
    </row>
    <row r="6" spans="5:23" ht="23.5" thickBot="1" x14ac:dyDescent="0.4">
      <c r="E6" s="140" t="s">
        <v>569</v>
      </c>
      <c r="F6" s="141" t="s">
        <v>570</v>
      </c>
    </row>
    <row r="7" spans="5:23" ht="23.5" thickBot="1" x14ac:dyDescent="0.4">
      <c r="E7" s="142" t="s">
        <v>571</v>
      </c>
      <c r="F7" s="143" t="s">
        <v>572</v>
      </c>
      <c r="J7" s="140" t="s">
        <v>569</v>
      </c>
      <c r="K7" s="142" t="s">
        <v>571</v>
      </c>
      <c r="L7" s="140" t="s">
        <v>573</v>
      </c>
      <c r="M7" s="142" t="s">
        <v>575</v>
      </c>
      <c r="N7" s="140" t="s">
        <v>577</v>
      </c>
      <c r="O7" s="142" t="s">
        <v>579</v>
      </c>
      <c r="P7" s="140" t="s">
        <v>581</v>
      </c>
      <c r="Q7" s="144" t="s">
        <v>583</v>
      </c>
      <c r="U7" s="150" t="s">
        <v>606</v>
      </c>
    </row>
    <row r="8" spans="5:23" ht="15" thickBot="1" x14ac:dyDescent="0.4">
      <c r="E8" s="140" t="s">
        <v>573</v>
      </c>
      <c r="F8" s="141" t="s">
        <v>574</v>
      </c>
      <c r="J8" s="141">
        <v>213.5</v>
      </c>
      <c r="K8" s="143">
        <v>215.5</v>
      </c>
      <c r="L8" s="141">
        <v>216</v>
      </c>
      <c r="M8" s="143">
        <v>177</v>
      </c>
      <c r="N8" s="141">
        <v>187.5</v>
      </c>
      <c r="O8" s="143">
        <v>150.5</v>
      </c>
      <c r="P8" s="141">
        <v>133</v>
      </c>
      <c r="Q8" s="145">
        <v>112</v>
      </c>
    </row>
    <row r="9" spans="5:23" ht="15" thickBot="1" x14ac:dyDescent="0.4">
      <c r="E9" s="142" t="s">
        <v>575</v>
      </c>
      <c r="F9" s="143" t="s">
        <v>576</v>
      </c>
    </row>
    <row r="10" spans="5:23" ht="23.5" thickBot="1" x14ac:dyDescent="0.4">
      <c r="E10" s="140" t="s">
        <v>577</v>
      </c>
      <c r="F10" s="141" t="s">
        <v>578</v>
      </c>
    </row>
    <row r="11" spans="5:23" ht="23.5" thickBot="1" x14ac:dyDescent="0.4">
      <c r="E11" s="142" t="s">
        <v>579</v>
      </c>
      <c r="F11" s="143" t="s">
        <v>580</v>
      </c>
    </row>
    <row r="12" spans="5:23" ht="23.5" thickBot="1" x14ac:dyDescent="0.4">
      <c r="E12" s="140" t="s">
        <v>581</v>
      </c>
      <c r="F12" s="141" t="s">
        <v>582</v>
      </c>
      <c r="J12" t="s">
        <v>59</v>
      </c>
      <c r="K12" t="s">
        <v>585</v>
      </c>
    </row>
    <row r="13" spans="5:23" ht="23.5" thickBot="1" x14ac:dyDescent="0.4">
      <c r="E13" s="144" t="s">
        <v>583</v>
      </c>
      <c r="F13" s="145" t="s">
        <v>584</v>
      </c>
      <c r="J13" s="140" t="s">
        <v>573</v>
      </c>
      <c r="K13" s="141">
        <v>216</v>
      </c>
    </row>
    <row r="14" spans="5:23" ht="15" thickBot="1" x14ac:dyDescent="0.4">
      <c r="J14" s="142" t="s">
        <v>571</v>
      </c>
      <c r="K14" s="143">
        <v>215.5</v>
      </c>
    </row>
    <row r="15" spans="5:23" ht="23.5" thickBot="1" x14ac:dyDescent="0.4">
      <c r="J15" s="140" t="s">
        <v>569</v>
      </c>
      <c r="K15" s="141">
        <v>213.5</v>
      </c>
    </row>
    <row r="16" spans="5:23" ht="23.5" thickBot="1" x14ac:dyDescent="0.4">
      <c r="J16" s="142" t="s">
        <v>577</v>
      </c>
      <c r="K16" s="143">
        <v>187.5</v>
      </c>
    </row>
    <row r="17" spans="10:14" ht="15" thickBot="1" x14ac:dyDescent="0.4">
      <c r="J17" s="140" t="s">
        <v>575</v>
      </c>
      <c r="K17" s="141">
        <v>177</v>
      </c>
    </row>
    <row r="18" spans="10:14" ht="23.5" thickBot="1" x14ac:dyDescent="0.4">
      <c r="J18" s="142" t="s">
        <v>579</v>
      </c>
      <c r="K18" s="143">
        <v>150.5</v>
      </c>
    </row>
    <row r="19" spans="10:14" ht="23.5" thickBot="1" x14ac:dyDescent="0.4">
      <c r="J19" s="140" t="s">
        <v>581</v>
      </c>
      <c r="K19" s="141">
        <v>133</v>
      </c>
    </row>
    <row r="20" spans="10:14" ht="23.5" thickBot="1" x14ac:dyDescent="0.4">
      <c r="J20" s="144" t="s">
        <v>583</v>
      </c>
      <c r="K20" s="145">
        <v>112</v>
      </c>
    </row>
    <row r="32" spans="10:14" x14ac:dyDescent="0.35">
      <c r="K32" t="s">
        <v>589</v>
      </c>
      <c r="L32" t="s">
        <v>586</v>
      </c>
      <c r="M32">
        <f>1300/2/1000</f>
        <v>0.65</v>
      </c>
      <c r="N32" t="s">
        <v>30</v>
      </c>
    </row>
    <row r="33" spans="11:16" x14ac:dyDescent="0.35">
      <c r="K33" t="s">
        <v>588</v>
      </c>
      <c r="L33" t="s">
        <v>587</v>
      </c>
      <c r="M33">
        <v>0.09</v>
      </c>
      <c r="N33" t="s">
        <v>30</v>
      </c>
    </row>
    <row r="34" spans="11:16" x14ac:dyDescent="0.35">
      <c r="K34" t="s">
        <v>601</v>
      </c>
      <c r="L34" t="s">
        <v>590</v>
      </c>
      <c r="M34">
        <v>0.02</v>
      </c>
      <c r="N34" t="s">
        <v>30</v>
      </c>
    </row>
    <row r="35" spans="11:16" x14ac:dyDescent="0.35">
      <c r="K35" t="s">
        <v>598</v>
      </c>
      <c r="L35" t="s">
        <v>597</v>
      </c>
      <c r="M35">
        <v>3.5</v>
      </c>
      <c r="N35" t="s">
        <v>30</v>
      </c>
    </row>
    <row r="37" spans="11:16" x14ac:dyDescent="0.35">
      <c r="L37" t="s">
        <v>591</v>
      </c>
      <c r="M37">
        <f>M32^2*PI()</f>
        <v>1.3273228961416876</v>
      </c>
      <c r="N37" t="s">
        <v>595</v>
      </c>
    </row>
    <row r="38" spans="11:16" x14ac:dyDescent="0.35">
      <c r="L38" t="s">
        <v>592</v>
      </c>
      <c r="M38">
        <f>(M32-(M32-M33))^2*PI()</f>
        <v>2.5446900494077305E-2</v>
      </c>
      <c r="N38" t="s">
        <v>595</v>
      </c>
    </row>
    <row r="39" spans="11:16" x14ac:dyDescent="0.35">
      <c r="L39" t="s">
        <v>593</v>
      </c>
      <c r="M39">
        <f>(M32-M33-M34)^2*PI()</f>
        <v>0.91608841778678374</v>
      </c>
      <c r="N39" t="s">
        <v>595</v>
      </c>
    </row>
    <row r="41" spans="11:16" x14ac:dyDescent="0.35">
      <c r="L41" t="s">
        <v>594</v>
      </c>
      <c r="M41">
        <f>M37-M38-M39</f>
        <v>0.38578757786082651</v>
      </c>
      <c r="N41" t="s">
        <v>595</v>
      </c>
    </row>
    <row r="43" spans="11:16" x14ac:dyDescent="0.35">
      <c r="L43" t="s">
        <v>596</v>
      </c>
      <c r="M43" s="146">
        <f>M41*M35</f>
        <v>1.3502565225128929</v>
      </c>
      <c r="N43" t="s">
        <v>7</v>
      </c>
    </row>
    <row r="44" spans="11:16" x14ac:dyDescent="0.35">
      <c r="L44" t="s">
        <v>599</v>
      </c>
      <c r="M44" s="18">
        <f>M43*O44</f>
        <v>3443.1541324078767</v>
      </c>
      <c r="N44" t="s">
        <v>600</v>
      </c>
      <c r="O44">
        <v>2550</v>
      </c>
      <c r="P44" t="s">
        <v>26</v>
      </c>
    </row>
  </sheetData>
  <autoFilter ref="J12:K12" xr:uid="{34F6FD6E-FDE1-4D3E-AEB2-699D69A48861}">
    <sortState xmlns:xlrd2="http://schemas.microsoft.com/office/spreadsheetml/2017/richdata2" ref="J13:K20">
      <sortCondition descending="1" ref="K12"/>
    </sortState>
  </autoFilter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05D04-8AF1-43A1-A36E-E850B0CC13FC}">
  <sheetPr>
    <tabColor theme="9" tint="0.79998168889431442"/>
  </sheetPr>
  <dimension ref="B3:AQ73"/>
  <sheetViews>
    <sheetView showGridLines="0" zoomScale="66" zoomScaleNormal="100" workbookViewId="0">
      <selection activeCell="D5" sqref="D5"/>
    </sheetView>
  </sheetViews>
  <sheetFormatPr defaultColWidth="9.1796875" defaultRowHeight="14.5" x14ac:dyDescent="0.35"/>
  <cols>
    <col min="1" max="1" width="9.1796875" style="42"/>
    <col min="2" max="2" width="26.54296875" style="42" bestFit="1" customWidth="1"/>
    <col min="3" max="3" width="27.1796875" style="42" customWidth="1"/>
    <col min="4" max="4" width="9.1796875" style="42" customWidth="1"/>
    <col min="5" max="5" width="3.54296875" style="42" customWidth="1"/>
    <col min="6" max="6" width="6.26953125" style="42" customWidth="1"/>
    <col min="7" max="7" width="35.7265625" style="42" customWidth="1"/>
    <col min="8" max="8" width="14.26953125" style="42" customWidth="1"/>
    <col min="9" max="9" width="23.453125" style="42" customWidth="1"/>
    <col min="10" max="11" width="7.7265625" style="42" customWidth="1"/>
    <col min="12" max="12" width="42.1796875" style="42" bestFit="1" customWidth="1"/>
    <col min="13" max="13" width="15.1796875" style="42" customWidth="1"/>
    <col min="14" max="14" width="9.1796875" style="42"/>
    <col min="15" max="16" width="7.7265625" style="42" customWidth="1"/>
    <col min="17" max="17" width="45.1796875" style="42" customWidth="1"/>
    <col min="18" max="18" width="14.81640625" style="42" customWidth="1"/>
    <col min="19" max="19" width="9.1796875" style="42"/>
    <col min="20" max="21" width="7.7265625" style="42" customWidth="1"/>
    <col min="22" max="22" width="31.7265625" style="42" customWidth="1"/>
    <col min="23" max="23" width="15.81640625" style="42" customWidth="1"/>
    <col min="24" max="26" width="7.7265625" style="42" customWidth="1"/>
    <col min="27" max="27" width="32.7265625" style="42" customWidth="1"/>
    <col min="28" max="28" width="15.81640625" style="42" customWidth="1"/>
    <col min="29" max="31" width="7.7265625" style="42" customWidth="1"/>
    <col min="32" max="32" width="9.1796875" style="42"/>
    <col min="33" max="33" width="12.54296875" style="42" bestFit="1" customWidth="1"/>
    <col min="34" max="34" width="44.453125" style="42" bestFit="1" customWidth="1"/>
    <col min="35" max="35" width="9.1796875" style="69"/>
    <col min="36" max="36" width="12.81640625" style="42" bestFit="1" customWidth="1"/>
    <col min="37" max="37" width="7.7265625" style="42" customWidth="1"/>
    <col min="38" max="38" width="61.7265625" style="42" bestFit="1" customWidth="1"/>
    <col min="39" max="39" width="36" style="42" customWidth="1"/>
    <col min="40" max="40" width="5" style="42" bestFit="1" customWidth="1"/>
    <col min="41" max="41" width="2.54296875" style="42" bestFit="1" customWidth="1"/>
    <col min="42" max="16384" width="9.1796875" style="42"/>
  </cols>
  <sheetData>
    <row r="3" spans="2:39" ht="30.75" customHeight="1" x14ac:dyDescent="0.35">
      <c r="B3" s="155" t="s">
        <v>0</v>
      </c>
      <c r="C3" s="155"/>
      <c r="D3" s="155"/>
      <c r="E3" s="41"/>
      <c r="G3" s="155" t="s">
        <v>1</v>
      </c>
      <c r="H3" s="155"/>
      <c r="I3" s="155"/>
      <c r="L3" s="155" t="s">
        <v>2</v>
      </c>
      <c r="M3" s="155"/>
      <c r="N3" s="155"/>
      <c r="Q3" s="155" t="s">
        <v>3</v>
      </c>
      <c r="R3" s="155"/>
      <c r="S3" s="155"/>
      <c r="V3" s="156" t="s">
        <v>4</v>
      </c>
      <c r="W3" s="156"/>
      <c r="X3" s="156"/>
      <c r="AA3" s="156" t="s">
        <v>5</v>
      </c>
      <c r="AB3" s="156"/>
      <c r="AC3" s="156"/>
      <c r="AH3" s="61"/>
      <c r="AM3" s="19"/>
    </row>
    <row r="4" spans="2:39" x14ac:dyDescent="0.35">
      <c r="D4" s="43"/>
      <c r="I4" s="43"/>
      <c r="N4" s="43"/>
      <c r="S4" s="43"/>
      <c r="X4" s="43"/>
      <c r="AC4" s="43"/>
      <c r="AH4" s="61"/>
    </row>
    <row r="5" spans="2:39" x14ac:dyDescent="0.35">
      <c r="B5" s="42" t="s">
        <v>6</v>
      </c>
      <c r="C5" s="42" t="s">
        <v>7</v>
      </c>
      <c r="D5" s="151"/>
      <c r="G5" s="42" t="s">
        <v>6</v>
      </c>
      <c r="H5" s="42" t="s">
        <v>7</v>
      </c>
      <c r="I5" s="151"/>
      <c r="L5" s="42" t="s">
        <v>8</v>
      </c>
      <c r="M5" s="42" t="s">
        <v>7</v>
      </c>
      <c r="N5" s="151"/>
      <c r="Q5" s="42" t="s">
        <v>8</v>
      </c>
      <c r="R5" s="42" t="s">
        <v>7</v>
      </c>
      <c r="S5" s="151"/>
      <c r="V5" s="42" t="s">
        <v>8</v>
      </c>
      <c r="W5" s="42" t="s">
        <v>7</v>
      </c>
      <c r="X5" s="151"/>
      <c r="AA5" s="42" t="s">
        <v>8</v>
      </c>
      <c r="AB5" s="42" t="s">
        <v>7</v>
      </c>
      <c r="AC5" s="151"/>
      <c r="AH5" s="61"/>
    </row>
    <row r="6" spans="2:39" x14ac:dyDescent="0.35">
      <c r="B6" s="42" t="s">
        <v>9</v>
      </c>
      <c r="C6" s="42" t="s">
        <v>10</v>
      </c>
      <c r="D6" s="44">
        <f>$AI$18</f>
        <v>2.5</v>
      </c>
      <c r="E6" s="12"/>
      <c r="G6" s="42" t="s">
        <v>9</v>
      </c>
      <c r="H6" s="42" t="s">
        <v>10</v>
      </c>
      <c r="I6" s="44">
        <f>$AI$18</f>
        <v>2.5</v>
      </c>
      <c r="L6" s="42" t="s">
        <v>9</v>
      </c>
      <c r="M6" s="42" t="s">
        <v>10</v>
      </c>
      <c r="N6" s="44">
        <f>$AI$18</f>
        <v>2.5</v>
      </c>
      <c r="Q6" s="42" t="s">
        <v>9</v>
      </c>
      <c r="R6" s="42" t="s">
        <v>10</v>
      </c>
      <c r="S6" s="44">
        <f>$AI$18</f>
        <v>2.5</v>
      </c>
      <c r="V6" s="42" t="s">
        <v>9</v>
      </c>
      <c r="W6" s="42" t="s">
        <v>10</v>
      </c>
      <c r="X6" s="44">
        <f>$AI$18</f>
        <v>2.5</v>
      </c>
      <c r="AA6" s="42" t="s">
        <v>9</v>
      </c>
      <c r="AB6" s="42" t="s">
        <v>10</v>
      </c>
      <c r="AC6" s="44">
        <f>$AI$18</f>
        <v>2.5</v>
      </c>
      <c r="AH6" s="45" t="s">
        <v>11</v>
      </c>
      <c r="AI6" s="70"/>
      <c r="AJ6" s="45"/>
    </row>
    <row r="7" spans="2:39" x14ac:dyDescent="0.35">
      <c r="AH7" s="42" t="s">
        <v>12</v>
      </c>
      <c r="AI7" s="76">
        <v>0.16400000000000001</v>
      </c>
      <c r="AJ7" s="42" t="s">
        <v>13</v>
      </c>
    </row>
    <row r="8" spans="2:39" x14ac:dyDescent="0.35">
      <c r="B8" s="42" t="s">
        <v>6</v>
      </c>
      <c r="C8" s="42" t="s">
        <v>14</v>
      </c>
      <c r="D8" s="44">
        <f>D5*D6</f>
        <v>0</v>
      </c>
      <c r="G8" s="42" t="s">
        <v>6</v>
      </c>
      <c r="H8" s="42" t="s">
        <v>14</v>
      </c>
      <c r="I8" s="44">
        <f>I5*I6</f>
        <v>0</v>
      </c>
      <c r="L8" s="42" t="s">
        <v>6</v>
      </c>
      <c r="M8" s="42" t="s">
        <v>14</v>
      </c>
      <c r="N8" s="44">
        <f>N5*N6</f>
        <v>0</v>
      </c>
      <c r="Q8" s="42" t="s">
        <v>6</v>
      </c>
      <c r="R8" s="42" t="s">
        <v>14</v>
      </c>
      <c r="S8" s="44">
        <f>S5*S6</f>
        <v>0</v>
      </c>
      <c r="V8" s="42" t="s">
        <v>6</v>
      </c>
      <c r="W8" s="42" t="s">
        <v>14</v>
      </c>
      <c r="X8" s="44">
        <f>X5*X6</f>
        <v>0</v>
      </c>
      <c r="AA8" s="42" t="s">
        <v>6</v>
      </c>
      <c r="AB8" s="42" t="s">
        <v>14</v>
      </c>
      <c r="AC8" s="44">
        <f>AC5*AC6</f>
        <v>0</v>
      </c>
      <c r="AH8" s="42" t="s">
        <v>15</v>
      </c>
      <c r="AI8" s="76">
        <v>3.4599999999999999E-2</v>
      </c>
      <c r="AJ8" s="42" t="s">
        <v>13</v>
      </c>
    </row>
    <row r="9" spans="2:39" x14ac:dyDescent="0.35">
      <c r="B9" s="42" t="s">
        <v>16</v>
      </c>
      <c r="C9" s="42" t="s">
        <v>17</v>
      </c>
      <c r="D9" s="81">
        <f xml:space="preserve"> AVERAGE(H39,H41,H42,H46)*1000</f>
        <v>42</v>
      </c>
      <c r="G9" s="42" t="s">
        <v>16</v>
      </c>
      <c r="H9" s="42" t="s">
        <v>17</v>
      </c>
      <c r="I9" s="64">
        <f xml:space="preserve"> AVERAGE(AI37,AI38,AI46)</f>
        <v>23.669999999999998</v>
      </c>
      <c r="L9" s="42" t="s">
        <v>16</v>
      </c>
      <c r="M9" s="42" t="s">
        <v>17</v>
      </c>
      <c r="N9" s="64">
        <f xml:space="preserve"> AVERAGE(AI36,AI47,AI49,AI50)</f>
        <v>13.67</v>
      </c>
      <c r="Q9" s="42" t="s">
        <v>16</v>
      </c>
      <c r="R9" s="42" t="s">
        <v>17</v>
      </c>
      <c r="S9" s="64">
        <f xml:space="preserve"> AVERAGE(AI40,AI41,AI42)</f>
        <v>31.483333333333334</v>
      </c>
      <c r="V9" s="42" t="s">
        <v>16</v>
      </c>
      <c r="W9" s="42" t="s">
        <v>17</v>
      </c>
      <c r="X9" s="64">
        <f xml:space="preserve"> AVERAGE(AI39,AI43)</f>
        <v>19.920000000000002</v>
      </c>
      <c r="AA9" s="42" t="s">
        <v>16</v>
      </c>
      <c r="AB9" s="42" t="s">
        <v>17</v>
      </c>
      <c r="AC9" s="64">
        <f xml:space="preserve"> AVERAGE(AI44:AI45)</f>
        <v>17.2</v>
      </c>
      <c r="AH9" s="42" t="s">
        <v>18</v>
      </c>
      <c r="AI9" s="76">
        <v>1.7516249999999997E-2</v>
      </c>
      <c r="AJ9" s="42" t="s">
        <v>13</v>
      </c>
    </row>
    <row r="10" spans="2:39" x14ac:dyDescent="0.35">
      <c r="AH10" s="42" t="s">
        <v>19</v>
      </c>
      <c r="AI10" s="76">
        <v>8.4000000000000003E-4</v>
      </c>
      <c r="AJ10" s="42" t="s">
        <v>13</v>
      </c>
    </row>
    <row r="11" spans="2:39" x14ac:dyDescent="0.35">
      <c r="B11" s="42" t="s">
        <v>20</v>
      </c>
      <c r="C11" s="42" t="s">
        <v>21</v>
      </c>
      <c r="D11" s="134"/>
      <c r="G11" s="42" t="s">
        <v>20</v>
      </c>
      <c r="H11" s="42" t="s">
        <v>21</v>
      </c>
      <c r="I11" s="134"/>
      <c r="L11" s="42" t="s">
        <v>20</v>
      </c>
      <c r="M11" s="42" t="s">
        <v>21</v>
      </c>
      <c r="N11" s="134"/>
      <c r="Q11" s="42" t="s">
        <v>20</v>
      </c>
      <c r="R11" s="42" t="s">
        <v>21</v>
      </c>
      <c r="S11" s="134"/>
      <c r="V11" s="42" t="s">
        <v>20</v>
      </c>
      <c r="W11" s="42" t="s">
        <v>21</v>
      </c>
      <c r="X11" s="134"/>
      <c r="AA11" s="42" t="s">
        <v>20</v>
      </c>
      <c r="AB11" s="42" t="s">
        <v>21</v>
      </c>
      <c r="AC11" s="134"/>
      <c r="AH11" s="42" t="s">
        <v>22</v>
      </c>
      <c r="AI11" s="76">
        <v>8.3999999999999995E-3</v>
      </c>
      <c r="AJ11" s="42" t="s">
        <v>13</v>
      </c>
    </row>
    <row r="12" spans="2:39" x14ac:dyDescent="0.35">
      <c r="B12" s="42" t="s">
        <v>23</v>
      </c>
      <c r="C12" s="42" t="s">
        <v>24</v>
      </c>
      <c r="D12" s="56">
        <v>0.16400000000000001</v>
      </c>
      <c r="E12" s="47"/>
      <c r="G12" s="42" t="s">
        <v>23</v>
      </c>
      <c r="H12" s="42" t="s">
        <v>24</v>
      </c>
      <c r="I12" s="56">
        <v>0.16400000000000001</v>
      </c>
      <c r="L12" s="42" t="s">
        <v>23</v>
      </c>
      <c r="M12" s="42" t="s">
        <v>24</v>
      </c>
      <c r="N12" s="56">
        <v>0.16400000000000001</v>
      </c>
      <c r="Q12" s="42" t="s">
        <v>23</v>
      </c>
      <c r="R12" s="42" t="s">
        <v>24</v>
      </c>
      <c r="S12" s="56">
        <v>0.16400000000000001</v>
      </c>
      <c r="V12" s="42" t="s">
        <v>23</v>
      </c>
      <c r="W12" s="42" t="s">
        <v>24</v>
      </c>
      <c r="X12" s="56">
        <v>0.16400000000000001</v>
      </c>
      <c r="AA12" s="42" t="s">
        <v>23</v>
      </c>
      <c r="AB12" s="42" t="s">
        <v>24</v>
      </c>
      <c r="AC12" s="56">
        <v>0.16400000000000001</v>
      </c>
    </row>
    <row r="13" spans="2:39" x14ac:dyDescent="0.35">
      <c r="AH13" s="42" t="s">
        <v>25</v>
      </c>
      <c r="AI13" s="69">
        <v>1500</v>
      </c>
      <c r="AJ13" s="42" t="s">
        <v>26</v>
      </c>
    </row>
    <row r="14" spans="2:39" ht="16.5" x14ac:dyDescent="0.35">
      <c r="B14" s="42" t="s">
        <v>27</v>
      </c>
      <c r="C14" s="42" t="s">
        <v>28</v>
      </c>
      <c r="D14" s="44">
        <f>$AI$30</f>
        <v>0.8</v>
      </c>
      <c r="G14" s="42" t="s">
        <v>27</v>
      </c>
      <c r="H14" s="42" t="s">
        <v>28</v>
      </c>
      <c r="I14" s="44">
        <f>$AI$30</f>
        <v>0.8</v>
      </c>
      <c r="J14" s="82"/>
      <c r="K14" s="83"/>
      <c r="L14" s="42" t="s">
        <v>27</v>
      </c>
      <c r="M14" s="42" t="s">
        <v>28</v>
      </c>
      <c r="N14" s="44">
        <f>$AI$30</f>
        <v>0.8</v>
      </c>
      <c r="Q14" s="42" t="s">
        <v>27</v>
      </c>
      <c r="R14" s="42" t="s">
        <v>28</v>
      </c>
      <c r="S14" s="44">
        <f>$AI$30</f>
        <v>0.8</v>
      </c>
      <c r="V14" s="42" t="s">
        <v>27</v>
      </c>
      <c r="W14" s="42" t="s">
        <v>28</v>
      </c>
      <c r="X14" s="44">
        <f>$AI$30</f>
        <v>0.8</v>
      </c>
      <c r="AA14" s="42" t="s">
        <v>27</v>
      </c>
      <c r="AB14" s="42" t="s">
        <v>28</v>
      </c>
      <c r="AC14" s="44">
        <f>$AI$30</f>
        <v>0.8</v>
      </c>
      <c r="AH14" s="42" t="s">
        <v>29</v>
      </c>
      <c r="AI14" s="69">
        <v>0.04</v>
      </c>
      <c r="AJ14" s="42" t="s">
        <v>30</v>
      </c>
    </row>
    <row r="15" spans="2:39" x14ac:dyDescent="0.35">
      <c r="B15" s="42" t="s">
        <v>31</v>
      </c>
      <c r="C15" s="42" t="s">
        <v>32</v>
      </c>
      <c r="D15" s="81">
        <f>$AI$32</f>
        <v>3.0132000000000003</v>
      </c>
      <c r="G15" s="42" t="s">
        <v>31</v>
      </c>
      <c r="H15" s="42" t="s">
        <v>32</v>
      </c>
      <c r="I15" s="81">
        <f>$AI$32</f>
        <v>3.0132000000000003</v>
      </c>
      <c r="L15" s="42" t="s">
        <v>31</v>
      </c>
      <c r="M15" s="42" t="s">
        <v>32</v>
      </c>
      <c r="N15" s="57">
        <f>$AI$32</f>
        <v>3.0132000000000003</v>
      </c>
      <c r="Q15" s="42" t="s">
        <v>31</v>
      </c>
      <c r="R15" s="42" t="s">
        <v>32</v>
      </c>
      <c r="S15" s="57">
        <f>$AI$32</f>
        <v>3.0132000000000003</v>
      </c>
      <c r="V15" s="42" t="s">
        <v>31</v>
      </c>
      <c r="W15" s="42" t="s">
        <v>32</v>
      </c>
      <c r="X15" s="57">
        <f>$AI$32</f>
        <v>3.0132000000000003</v>
      </c>
      <c r="AA15" s="42" t="s">
        <v>31</v>
      </c>
      <c r="AB15" s="42" t="s">
        <v>32</v>
      </c>
      <c r="AC15" s="57">
        <f>$AI$32</f>
        <v>3.0132000000000003</v>
      </c>
    </row>
    <row r="16" spans="2:39" x14ac:dyDescent="0.35">
      <c r="D16" s="43"/>
      <c r="I16" s="43"/>
      <c r="N16" s="43"/>
      <c r="S16" s="43"/>
      <c r="X16" s="43"/>
      <c r="AC16" s="43"/>
    </row>
    <row r="17" spans="2:36" x14ac:dyDescent="0.35">
      <c r="B17" s="45" t="s">
        <v>33</v>
      </c>
      <c r="C17" s="45" t="s">
        <v>34</v>
      </c>
      <c r="D17" s="46">
        <f>D8*D9+D8*D11*D12+D8*D14*D15</f>
        <v>0</v>
      </c>
      <c r="E17" s="41"/>
      <c r="G17" s="45" t="s">
        <v>33</v>
      </c>
      <c r="H17" s="45" t="s">
        <v>34</v>
      </c>
      <c r="I17" s="46">
        <f>I8*I9+I8*I11*I12+I8*I14*I15</f>
        <v>0</v>
      </c>
      <c r="L17" s="45" t="s">
        <v>33</v>
      </c>
      <c r="M17" s="45" t="s">
        <v>34</v>
      </c>
      <c r="N17" s="46">
        <f>N8*N9+N8*N11*N12+N8*N14*N15</f>
        <v>0</v>
      </c>
      <c r="Q17" s="45" t="s">
        <v>33</v>
      </c>
      <c r="R17" s="45" t="s">
        <v>34</v>
      </c>
      <c r="S17" s="46">
        <f>S8*S9+S8*S11*S12+S8*S14*S15</f>
        <v>0</v>
      </c>
      <c r="V17" s="45" t="s">
        <v>33</v>
      </c>
      <c r="W17" s="45" t="s">
        <v>34</v>
      </c>
      <c r="X17" s="46">
        <f>X8*X9+X8*X11*X12+X8*X14*X15</f>
        <v>0</v>
      </c>
      <c r="AA17" s="45" t="s">
        <v>33</v>
      </c>
      <c r="AB17" s="45" t="s">
        <v>34</v>
      </c>
      <c r="AC17" s="46">
        <f>AC8*AC9+AC8*AC11*AC12+AC8*AC14*AC15</f>
        <v>0</v>
      </c>
      <c r="AH17" s="45" t="s">
        <v>35</v>
      </c>
    </row>
    <row r="18" spans="2:36" x14ac:dyDescent="0.35">
      <c r="D18" s="43"/>
      <c r="I18" s="43"/>
      <c r="AH18" s="42" t="s">
        <v>36</v>
      </c>
      <c r="AI18" s="69">
        <v>2.5</v>
      </c>
      <c r="AJ18" s="42" t="s">
        <v>37</v>
      </c>
    </row>
    <row r="19" spans="2:36" x14ac:dyDescent="0.35">
      <c r="B19" s="45" t="s">
        <v>38</v>
      </c>
      <c r="C19" s="45" t="s">
        <v>39</v>
      </c>
      <c r="D19" s="46">
        <f>D17/$AI$26</f>
        <v>0</v>
      </c>
      <c r="G19" s="45" t="s">
        <v>38</v>
      </c>
      <c r="H19" s="45" t="s">
        <v>39</v>
      </c>
      <c r="I19" s="46">
        <f>I17/$AI$26</f>
        <v>0</v>
      </c>
      <c r="L19" s="45" t="s">
        <v>38</v>
      </c>
      <c r="M19" s="45" t="s">
        <v>39</v>
      </c>
      <c r="N19" s="46">
        <f>N17/$AI$26</f>
        <v>0</v>
      </c>
      <c r="Q19" s="45" t="s">
        <v>38</v>
      </c>
      <c r="R19" s="45" t="s">
        <v>39</v>
      </c>
      <c r="S19" s="46">
        <f>S17/$AI$26</f>
        <v>0</v>
      </c>
      <c r="V19" s="45" t="s">
        <v>38</v>
      </c>
      <c r="W19" s="45" t="s">
        <v>39</v>
      </c>
      <c r="X19" s="46">
        <f>X17/$AI$26</f>
        <v>0</v>
      </c>
      <c r="AA19" s="45" t="s">
        <v>38</v>
      </c>
      <c r="AB19" s="45" t="s">
        <v>39</v>
      </c>
      <c r="AC19" s="46">
        <f>AC17/$AI$26</f>
        <v>0</v>
      </c>
      <c r="AH19" s="42" t="s">
        <v>40</v>
      </c>
      <c r="AI19" s="69">
        <v>2.4</v>
      </c>
      <c r="AJ19" s="42" t="s">
        <v>37</v>
      </c>
    </row>
    <row r="20" spans="2:36" x14ac:dyDescent="0.35">
      <c r="D20" s="43"/>
      <c r="I20" s="43"/>
      <c r="AH20" s="42" t="s">
        <v>41</v>
      </c>
      <c r="AI20" s="69">
        <v>30</v>
      </c>
      <c r="AJ20" s="42" t="s">
        <v>26</v>
      </c>
    </row>
    <row r="21" spans="2:36" x14ac:dyDescent="0.35">
      <c r="D21" s="43"/>
      <c r="I21" s="43"/>
      <c r="AH21" s="42" t="s">
        <v>42</v>
      </c>
      <c r="AI21" s="69">
        <v>35</v>
      </c>
      <c r="AJ21" s="42" t="s">
        <v>26</v>
      </c>
    </row>
    <row r="22" spans="2:36" x14ac:dyDescent="0.35">
      <c r="D22" s="43"/>
      <c r="I22" s="43"/>
    </row>
    <row r="23" spans="2:36" x14ac:dyDescent="0.35">
      <c r="D23" s="43"/>
      <c r="I23" s="43"/>
    </row>
    <row r="24" spans="2:36" x14ac:dyDescent="0.35">
      <c r="F24" s="155" t="s">
        <v>43</v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</row>
    <row r="25" spans="2:36" x14ac:dyDescent="0.35">
      <c r="I25" s="43"/>
      <c r="N25" s="43"/>
      <c r="S25" s="43"/>
      <c r="X25" s="43"/>
      <c r="AC25" s="43"/>
      <c r="AH25" s="80" t="s">
        <v>44</v>
      </c>
      <c r="AI25" s="79"/>
      <c r="AJ25" s="78"/>
    </row>
    <row r="26" spans="2:36" x14ac:dyDescent="0.35">
      <c r="G26" s="42" t="s">
        <v>45</v>
      </c>
      <c r="H26" s="42" t="s">
        <v>34</v>
      </c>
      <c r="I26" s="44">
        <f>$D$17</f>
        <v>0</v>
      </c>
      <c r="L26" s="42" t="s">
        <v>45</v>
      </c>
      <c r="M26" s="42" t="s">
        <v>34</v>
      </c>
      <c r="N26" s="44">
        <f>$D$17</f>
        <v>0</v>
      </c>
      <c r="Q26" s="42" t="s">
        <v>45</v>
      </c>
      <c r="R26" s="42" t="s">
        <v>34</v>
      </c>
      <c r="S26" s="44">
        <f>$D$17</f>
        <v>0</v>
      </c>
      <c r="V26" s="42" t="s">
        <v>45</v>
      </c>
      <c r="W26" s="42" t="s">
        <v>34</v>
      </c>
      <c r="X26" s="44">
        <f>$D$17</f>
        <v>0</v>
      </c>
      <c r="AA26" s="42" t="s">
        <v>45</v>
      </c>
      <c r="AB26" s="42" t="s">
        <v>34</v>
      </c>
      <c r="AC26" s="44">
        <f>$D$17</f>
        <v>0</v>
      </c>
      <c r="AH26" s="42" t="s">
        <v>36</v>
      </c>
      <c r="AI26" s="77">
        <v>10</v>
      </c>
      <c r="AJ26" s="42" t="s">
        <v>46</v>
      </c>
    </row>
    <row r="27" spans="2:36" x14ac:dyDescent="0.35">
      <c r="G27" s="42" t="s">
        <v>47</v>
      </c>
      <c r="H27" s="42" t="s">
        <v>34</v>
      </c>
      <c r="I27" s="44">
        <f>$I$17</f>
        <v>0</v>
      </c>
      <c r="L27" s="42" t="s">
        <v>48</v>
      </c>
      <c r="M27" s="42" t="s">
        <v>34</v>
      </c>
      <c r="N27" s="44">
        <f>$N$17</f>
        <v>0</v>
      </c>
      <c r="Q27" s="42" t="s">
        <v>49</v>
      </c>
      <c r="R27" s="42" t="s">
        <v>34</v>
      </c>
      <c r="S27" s="44">
        <f>$S$17</f>
        <v>0</v>
      </c>
      <c r="V27" s="42" t="s">
        <v>50</v>
      </c>
      <c r="W27" s="42" t="s">
        <v>34</v>
      </c>
      <c r="X27" s="44">
        <f>$X$17</f>
        <v>0</v>
      </c>
      <c r="AA27" s="42" t="s">
        <v>50</v>
      </c>
      <c r="AB27" s="42" t="s">
        <v>34</v>
      </c>
      <c r="AC27" s="44">
        <f>$AC$17</f>
        <v>0</v>
      </c>
      <c r="AI27" s="77"/>
    </row>
    <row r="28" spans="2:36" x14ac:dyDescent="0.35">
      <c r="I28" s="43"/>
      <c r="N28" s="43"/>
      <c r="S28" s="43"/>
      <c r="X28" s="43"/>
      <c r="AC28" s="43"/>
    </row>
    <row r="29" spans="2:36" x14ac:dyDescent="0.35">
      <c r="I29" s="43"/>
      <c r="N29" s="43"/>
      <c r="S29" s="43"/>
      <c r="X29" s="43"/>
      <c r="AC29" s="43"/>
      <c r="AH29" s="45" t="s">
        <v>51</v>
      </c>
    </row>
    <row r="30" spans="2:36" x14ac:dyDescent="0.35">
      <c r="G30" s="45" t="s">
        <v>52</v>
      </c>
      <c r="H30" s="45" t="s">
        <v>34</v>
      </c>
      <c r="I30" s="48">
        <f>$I$26-$I$27</f>
        <v>0</v>
      </c>
      <c r="L30" s="45" t="s">
        <v>52</v>
      </c>
      <c r="M30" s="45" t="s">
        <v>34</v>
      </c>
      <c r="N30" s="48">
        <f>$N$26-$N$27</f>
        <v>0</v>
      </c>
      <c r="Q30" s="45" t="s">
        <v>52</v>
      </c>
      <c r="R30" s="45" t="s">
        <v>34</v>
      </c>
      <c r="S30" s="48">
        <f>$S$26-$S$27</f>
        <v>0</v>
      </c>
      <c r="V30" s="45" t="s">
        <v>52</v>
      </c>
      <c r="W30" s="45" t="s">
        <v>34</v>
      </c>
      <c r="X30" s="48">
        <f>$X$26-$X$27</f>
        <v>0</v>
      </c>
      <c r="AA30" s="45" t="s">
        <v>52</v>
      </c>
      <c r="AB30" s="45" t="s">
        <v>34</v>
      </c>
      <c r="AC30" s="48">
        <f>$AC$26-$AC$27</f>
        <v>0</v>
      </c>
      <c r="AH30" s="42" t="s">
        <v>27</v>
      </c>
      <c r="AI30" s="69">
        <v>0.8</v>
      </c>
      <c r="AJ30" s="42" t="s">
        <v>53</v>
      </c>
    </row>
    <row r="31" spans="2:36" x14ac:dyDescent="0.35">
      <c r="H31" s="45" t="s">
        <v>54</v>
      </c>
      <c r="I31" s="48">
        <f>I30/1000</f>
        <v>0</v>
      </c>
      <c r="M31" s="45" t="s">
        <v>54</v>
      </c>
      <c r="N31" s="48">
        <f>N30/1000</f>
        <v>0</v>
      </c>
      <c r="R31" s="45" t="s">
        <v>54</v>
      </c>
      <c r="S31" s="48">
        <f>S30/1000</f>
        <v>0</v>
      </c>
      <c r="W31" s="45" t="s">
        <v>54</v>
      </c>
      <c r="X31" s="48">
        <f>X30/1000</f>
        <v>0</v>
      </c>
      <c r="AB31" s="45" t="s">
        <v>54</v>
      </c>
      <c r="AC31" s="48">
        <f>AC30/1000</f>
        <v>0</v>
      </c>
    </row>
    <row r="32" spans="2:36" x14ac:dyDescent="0.35">
      <c r="AH32" s="45" t="s">
        <v>55</v>
      </c>
      <c r="AI32" s="69">
        <f>Drivstoff!F4</f>
        <v>3.0132000000000003</v>
      </c>
      <c r="AJ32" s="42" t="s">
        <v>32</v>
      </c>
    </row>
    <row r="34" spans="2:39" x14ac:dyDescent="0.35">
      <c r="AH34" s="45" t="s">
        <v>56</v>
      </c>
    </row>
    <row r="35" spans="2:39" x14ac:dyDescent="0.35">
      <c r="AH35" s="55" t="s">
        <v>57</v>
      </c>
      <c r="AK35" s="45" t="s">
        <v>58</v>
      </c>
      <c r="AL35" s="45" t="s">
        <v>59</v>
      </c>
    </row>
    <row r="36" spans="2:39" x14ac:dyDescent="0.35">
      <c r="B36" s="155" t="s">
        <v>60</v>
      </c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H36" s="42" t="s">
        <v>61</v>
      </c>
      <c r="AI36" s="69">
        <f>3.95+8.75-1.06</f>
        <v>11.639999999999999</v>
      </c>
      <c r="AJ36" s="42" t="s">
        <v>17</v>
      </c>
      <c r="AK36" s="42" t="s">
        <v>62</v>
      </c>
      <c r="AL36" s="42" t="s">
        <v>63</v>
      </c>
      <c r="AM36" s="71" t="s">
        <v>64</v>
      </c>
    </row>
    <row r="37" spans="2:39" x14ac:dyDescent="0.35">
      <c r="AH37" s="42" t="s">
        <v>65</v>
      </c>
      <c r="AI37" s="69">
        <f>12.1+3.77+8.75</f>
        <v>24.619999999999997</v>
      </c>
      <c r="AJ37" s="42" t="s">
        <v>17</v>
      </c>
      <c r="AK37" s="42" t="s">
        <v>62</v>
      </c>
      <c r="AL37" s="42" t="s">
        <v>66</v>
      </c>
      <c r="AM37" s="71" t="s">
        <v>67</v>
      </c>
    </row>
    <row r="38" spans="2:39" x14ac:dyDescent="0.35">
      <c r="B38" s="154" t="s">
        <v>68</v>
      </c>
      <c r="C38" s="154"/>
      <c r="D38" s="154"/>
      <c r="E38" s="154"/>
      <c r="F38" s="154"/>
      <c r="G38" s="84" t="s">
        <v>69</v>
      </c>
      <c r="H38" s="84"/>
      <c r="I38" s="84"/>
      <c r="AH38" s="12" t="s">
        <v>70</v>
      </c>
      <c r="AI38" s="69">
        <f>8.73+2.59+8.75</f>
        <v>20.07</v>
      </c>
      <c r="AJ38" s="42" t="s">
        <v>17</v>
      </c>
      <c r="AK38" s="42" t="s">
        <v>71</v>
      </c>
      <c r="AL38" s="42" t="s">
        <v>66</v>
      </c>
      <c r="AM38" s="71" t="s">
        <v>72</v>
      </c>
    </row>
    <row r="39" spans="2:39" x14ac:dyDescent="0.35">
      <c r="B39" s="41" t="s">
        <v>73</v>
      </c>
      <c r="G39" s="42" t="s">
        <v>74</v>
      </c>
      <c r="H39" s="74">
        <v>0.03</v>
      </c>
      <c r="I39" s="42" t="s">
        <v>75</v>
      </c>
      <c r="AH39" s="42" t="s">
        <v>76</v>
      </c>
      <c r="AI39" s="69">
        <f>5.33+4.68+4.85</f>
        <v>14.86</v>
      </c>
      <c r="AJ39" s="42" t="s">
        <v>17</v>
      </c>
      <c r="AK39" s="42" t="s">
        <v>62</v>
      </c>
      <c r="AL39" s="42" t="s">
        <v>77</v>
      </c>
      <c r="AM39" s="71" t="s">
        <v>78</v>
      </c>
    </row>
    <row r="40" spans="2:39" x14ac:dyDescent="0.35">
      <c r="B40" s="72" t="s">
        <v>79</v>
      </c>
      <c r="G40" s="42" t="s">
        <v>80</v>
      </c>
      <c r="H40" s="74">
        <v>0.03</v>
      </c>
      <c r="I40" s="42" t="s">
        <v>75</v>
      </c>
      <c r="AG40" s="42" t="s">
        <v>81</v>
      </c>
      <c r="AH40" s="42" t="s">
        <v>82</v>
      </c>
      <c r="AI40" s="69">
        <f>10.3+12.4+19.6</f>
        <v>42.300000000000004</v>
      </c>
      <c r="AJ40" s="42" t="s">
        <v>17</v>
      </c>
      <c r="AK40" s="42" t="s">
        <v>83</v>
      </c>
      <c r="AL40" s="42" t="s">
        <v>84</v>
      </c>
      <c r="AM40" s="71" t="s">
        <v>85</v>
      </c>
    </row>
    <row r="41" spans="2:39" x14ac:dyDescent="0.35">
      <c r="B41" s="45" t="s">
        <v>86</v>
      </c>
      <c r="G41" s="42" t="s">
        <v>87</v>
      </c>
      <c r="H41" s="74">
        <v>4.2000000000000003E-2</v>
      </c>
      <c r="I41" s="42" t="s">
        <v>75</v>
      </c>
      <c r="AG41" s="42" t="s">
        <v>88</v>
      </c>
      <c r="AH41" s="42" t="s">
        <v>89</v>
      </c>
      <c r="AI41" s="69">
        <f>4.04+19.6-1.38</f>
        <v>22.26</v>
      </c>
      <c r="AJ41" s="42" t="s">
        <v>17</v>
      </c>
      <c r="AK41" s="42" t="s">
        <v>62</v>
      </c>
      <c r="AL41" s="42" t="s">
        <v>84</v>
      </c>
      <c r="AM41" s="71" t="s">
        <v>90</v>
      </c>
    </row>
    <row r="42" spans="2:39" x14ac:dyDescent="0.35">
      <c r="B42" s="42" t="s">
        <v>91</v>
      </c>
      <c r="C42" s="73">
        <v>-1.3</v>
      </c>
      <c r="D42" s="42" t="s">
        <v>92</v>
      </c>
      <c r="G42" s="42" t="s">
        <v>93</v>
      </c>
      <c r="H42" s="74">
        <v>4.8000000000000001E-2</v>
      </c>
      <c r="I42" s="42" t="s">
        <v>75</v>
      </c>
      <c r="AG42" s="42" t="s">
        <v>94</v>
      </c>
      <c r="AH42" s="42" t="s">
        <v>95</v>
      </c>
      <c r="AI42" s="69">
        <f>11.4+19.6-1.11</f>
        <v>29.89</v>
      </c>
      <c r="AJ42" s="42" t="s">
        <v>17</v>
      </c>
      <c r="AK42" s="42" t="s">
        <v>62</v>
      </c>
      <c r="AL42" s="42" t="s">
        <v>84</v>
      </c>
      <c r="AM42" s="71" t="s">
        <v>96</v>
      </c>
    </row>
    <row r="43" spans="2:39" x14ac:dyDescent="0.35">
      <c r="B43" s="42" t="s">
        <v>97</v>
      </c>
      <c r="C43" s="73">
        <v>-6.5</v>
      </c>
      <c r="D43" s="42" t="s">
        <v>92</v>
      </c>
      <c r="G43" s="42" t="s">
        <v>98</v>
      </c>
      <c r="H43" s="74">
        <v>5.7000000000000002E-2</v>
      </c>
      <c r="I43" s="42" t="s">
        <v>75</v>
      </c>
      <c r="AG43" s="42" t="s">
        <v>81</v>
      </c>
      <c r="AH43" s="42" t="s">
        <v>99</v>
      </c>
      <c r="AI43" s="69">
        <f>10.3+9.83+4.85</f>
        <v>24.980000000000004</v>
      </c>
      <c r="AJ43" s="42" t="s">
        <v>17</v>
      </c>
      <c r="AK43" s="42" t="s">
        <v>83</v>
      </c>
      <c r="AL43" s="42" t="s">
        <v>77</v>
      </c>
      <c r="AM43" s="71" t="s">
        <v>100</v>
      </c>
    </row>
    <row r="44" spans="2:39" x14ac:dyDescent="0.35">
      <c r="C44" s="73"/>
      <c r="G44" s="42" t="s">
        <v>101</v>
      </c>
      <c r="H44" s="74">
        <v>3.9E-2</v>
      </c>
      <c r="I44" s="42" t="s">
        <v>75</v>
      </c>
      <c r="AH44" s="42" t="s">
        <v>102</v>
      </c>
      <c r="AI44" s="69">
        <v>17.5</v>
      </c>
      <c r="AJ44" s="42" t="s">
        <v>17</v>
      </c>
      <c r="AK44" s="42" t="s">
        <v>103</v>
      </c>
      <c r="AL44" s="42" t="s">
        <v>104</v>
      </c>
      <c r="AM44" s="71" t="s">
        <v>105</v>
      </c>
    </row>
    <row r="45" spans="2:39" x14ac:dyDescent="0.35">
      <c r="B45" s="45" t="s">
        <v>106</v>
      </c>
      <c r="C45" s="73"/>
      <c r="G45" s="42" t="s">
        <v>107</v>
      </c>
      <c r="H45" s="74">
        <v>1.8170696E-2</v>
      </c>
      <c r="I45" s="42" t="s">
        <v>75</v>
      </c>
      <c r="AG45" s="12"/>
      <c r="AH45" s="42" t="s">
        <v>108</v>
      </c>
      <c r="AI45" s="69">
        <v>16.899999999999999</v>
      </c>
      <c r="AJ45" s="42" t="s">
        <v>17</v>
      </c>
      <c r="AK45" s="42" t="s">
        <v>109</v>
      </c>
      <c r="AL45" s="42" t="s">
        <v>104</v>
      </c>
      <c r="AM45" s="71" t="s">
        <v>110</v>
      </c>
    </row>
    <row r="46" spans="2:39" x14ac:dyDescent="0.35">
      <c r="B46" s="42" t="s">
        <v>91</v>
      </c>
      <c r="C46" s="73">
        <v>-1.44</v>
      </c>
      <c r="D46" s="42" t="s">
        <v>92</v>
      </c>
      <c r="G46" s="42" t="s">
        <v>111</v>
      </c>
      <c r="H46" s="74">
        <v>4.8000000000000001E-2</v>
      </c>
      <c r="I46" s="42" t="s">
        <v>75</v>
      </c>
      <c r="AH46" s="42" t="s">
        <v>112</v>
      </c>
      <c r="AI46" s="69">
        <f>11.9+5.68+8.74</f>
        <v>26.32</v>
      </c>
      <c r="AJ46" s="42" t="s">
        <v>17</v>
      </c>
      <c r="AK46" s="42" t="s">
        <v>62</v>
      </c>
      <c r="AL46" s="42" t="s">
        <v>66</v>
      </c>
      <c r="AM46" s="71" t="s">
        <v>113</v>
      </c>
    </row>
    <row r="47" spans="2:39" x14ac:dyDescent="0.35">
      <c r="B47" s="42" t="s">
        <v>97</v>
      </c>
      <c r="C47" s="73">
        <v>-7.2</v>
      </c>
      <c r="D47" s="42" t="s">
        <v>92</v>
      </c>
      <c r="G47" s="42" t="s">
        <v>114</v>
      </c>
      <c r="H47" s="74">
        <v>5.8000000000000003E-2</v>
      </c>
      <c r="I47" s="42" t="s">
        <v>75</v>
      </c>
      <c r="AH47" s="42" t="s">
        <v>115</v>
      </c>
      <c r="AI47" s="69">
        <f>5.48+5.77+8.74</f>
        <v>19.990000000000002</v>
      </c>
      <c r="AJ47" s="42" t="s">
        <v>17</v>
      </c>
      <c r="AK47" s="42" t="s">
        <v>62</v>
      </c>
      <c r="AL47" s="42" t="s">
        <v>63</v>
      </c>
      <c r="AM47" s="71" t="s">
        <v>116</v>
      </c>
    </row>
    <row r="48" spans="2:39" x14ac:dyDescent="0.35">
      <c r="G48" s="42" t="s">
        <v>117</v>
      </c>
      <c r="H48" s="74">
        <v>5.2010893000000002E-2</v>
      </c>
      <c r="I48" s="42" t="s">
        <v>75</v>
      </c>
      <c r="AH48" s="42" t="s">
        <v>118</v>
      </c>
      <c r="AI48" s="69">
        <f>20.8+6.69+8.74</f>
        <v>36.230000000000004</v>
      </c>
      <c r="AJ48" s="42" t="s">
        <v>17</v>
      </c>
      <c r="AK48" s="42" t="s">
        <v>83</v>
      </c>
      <c r="AL48" s="42" t="s">
        <v>119</v>
      </c>
      <c r="AM48" s="71" t="s">
        <v>120</v>
      </c>
    </row>
    <row r="49" spans="2:43" x14ac:dyDescent="0.35">
      <c r="B49" s="72" t="s">
        <v>121</v>
      </c>
      <c r="G49" s="42" t="s">
        <v>122</v>
      </c>
      <c r="H49" s="74">
        <v>5.2010893000000002E-2</v>
      </c>
      <c r="I49" s="42" t="s">
        <v>75</v>
      </c>
      <c r="AH49" s="42" t="s">
        <v>123</v>
      </c>
      <c r="AI49" s="69">
        <f>2.81+8.75-7.41</f>
        <v>4.1500000000000004</v>
      </c>
      <c r="AJ49" s="42" t="s">
        <v>17</v>
      </c>
      <c r="AK49" s="42" t="s">
        <v>71</v>
      </c>
      <c r="AL49" s="42" t="s">
        <v>63</v>
      </c>
      <c r="AM49" s="71" t="s">
        <v>124</v>
      </c>
    </row>
    <row r="50" spans="2:43" x14ac:dyDescent="0.35">
      <c r="B50" s="45" t="s">
        <v>86</v>
      </c>
      <c r="G50" s="42" t="s">
        <v>125</v>
      </c>
      <c r="H50" s="74">
        <v>1.8170696E-2</v>
      </c>
      <c r="I50" s="42" t="s">
        <v>75</v>
      </c>
      <c r="AH50" s="42" t="s">
        <v>126</v>
      </c>
      <c r="AI50" s="69">
        <f>2.81+23.5-7.41</f>
        <v>18.899999999999999</v>
      </c>
      <c r="AJ50" s="42" t="s">
        <v>17</v>
      </c>
      <c r="AK50" s="42" t="s">
        <v>71</v>
      </c>
      <c r="AL50" s="42" t="s">
        <v>63</v>
      </c>
      <c r="AM50" s="71" t="s">
        <v>127</v>
      </c>
    </row>
    <row r="51" spans="2:43" x14ac:dyDescent="0.35">
      <c r="B51" s="42" t="s">
        <v>91</v>
      </c>
      <c r="C51" s="73">
        <v>-0.36</v>
      </c>
      <c r="D51" s="42" t="s">
        <v>92</v>
      </c>
      <c r="G51" s="45" t="s">
        <v>128</v>
      </c>
      <c r="H51" s="75">
        <v>3.6261854999999998E-3</v>
      </c>
      <c r="I51" s="45" t="s">
        <v>75</v>
      </c>
    </row>
    <row r="52" spans="2:43" x14ac:dyDescent="0.35">
      <c r="B52" s="42" t="s">
        <v>97</v>
      </c>
      <c r="C52" s="73">
        <v>-1.8</v>
      </c>
      <c r="D52" s="42" t="s">
        <v>92</v>
      </c>
      <c r="G52" s="42" t="s">
        <v>129</v>
      </c>
      <c r="H52" s="74">
        <v>4.2000000000000003E-2</v>
      </c>
      <c r="I52" s="42" t="s">
        <v>75</v>
      </c>
      <c r="AH52" s="55"/>
    </row>
    <row r="53" spans="2:43" x14ac:dyDescent="0.35">
      <c r="G53" s="42" t="s">
        <v>130</v>
      </c>
      <c r="H53" s="74">
        <v>5.2010893000000002E-2</v>
      </c>
      <c r="I53" s="42" t="s">
        <v>75</v>
      </c>
      <c r="AK53" s="61"/>
    </row>
    <row r="54" spans="2:43" x14ac:dyDescent="0.35">
      <c r="B54" s="72" t="s">
        <v>131</v>
      </c>
      <c r="G54" s="42" t="s">
        <v>132</v>
      </c>
      <c r="H54" s="74">
        <v>5.2010893000000002E-2</v>
      </c>
      <c r="I54" s="42" t="s">
        <v>75</v>
      </c>
      <c r="AK54" s="61"/>
    </row>
    <row r="55" spans="2:43" x14ac:dyDescent="0.35">
      <c r="B55" s="42" t="s">
        <v>133</v>
      </c>
      <c r="AK55" s="61"/>
      <c r="AQ55" s="42" t="s">
        <v>134</v>
      </c>
    </row>
    <row r="56" spans="2:43" x14ac:dyDescent="0.35">
      <c r="AK56" s="61"/>
      <c r="AQ56" s="42" t="s">
        <v>134</v>
      </c>
    </row>
    <row r="57" spans="2:43" x14ac:dyDescent="0.35">
      <c r="AK57" s="61"/>
      <c r="AQ57" s="42" t="s">
        <v>134</v>
      </c>
    </row>
    <row r="58" spans="2:43" x14ac:dyDescent="0.35">
      <c r="AK58" s="61"/>
      <c r="AQ58" s="42" t="s">
        <v>134</v>
      </c>
    </row>
    <row r="59" spans="2:43" x14ac:dyDescent="0.35">
      <c r="AK59" s="61"/>
      <c r="AQ59" s="42" t="s">
        <v>134</v>
      </c>
    </row>
    <row r="60" spans="2:43" x14ac:dyDescent="0.35">
      <c r="AK60" s="61"/>
      <c r="AQ60" s="42" t="s">
        <v>135</v>
      </c>
    </row>
    <row r="61" spans="2:43" x14ac:dyDescent="0.35">
      <c r="AK61" s="61"/>
      <c r="AQ61" s="42" t="s">
        <v>135</v>
      </c>
    </row>
    <row r="62" spans="2:43" x14ac:dyDescent="0.35">
      <c r="AK62" s="61"/>
      <c r="AQ62" s="42" t="s">
        <v>135</v>
      </c>
    </row>
    <row r="63" spans="2:43" x14ac:dyDescent="0.35">
      <c r="AK63" s="61"/>
      <c r="AQ63" s="42" t="s">
        <v>135</v>
      </c>
    </row>
    <row r="64" spans="2:43" x14ac:dyDescent="0.35">
      <c r="AK64" s="61"/>
      <c r="AQ64" s="42" t="s">
        <v>135</v>
      </c>
    </row>
    <row r="65" spans="34:43" x14ac:dyDescent="0.35">
      <c r="AK65" s="61"/>
      <c r="AQ65" s="42" t="s">
        <v>135</v>
      </c>
    </row>
    <row r="66" spans="34:43" x14ac:dyDescent="0.35">
      <c r="AK66" s="61"/>
      <c r="AQ66" s="42" t="s">
        <v>136</v>
      </c>
    </row>
    <row r="67" spans="34:43" x14ac:dyDescent="0.35">
      <c r="AK67" s="61"/>
      <c r="AQ67" s="42" t="s">
        <v>136</v>
      </c>
    </row>
    <row r="68" spans="34:43" x14ac:dyDescent="0.35">
      <c r="AK68" s="61"/>
    </row>
    <row r="70" spans="34:43" x14ac:dyDescent="0.35">
      <c r="AH70" s="55"/>
    </row>
    <row r="71" spans="34:43" x14ac:dyDescent="0.35">
      <c r="AK71" s="61"/>
    </row>
    <row r="72" spans="34:43" x14ac:dyDescent="0.35">
      <c r="AK72" s="61"/>
      <c r="AQ72" s="61" t="s">
        <v>137</v>
      </c>
    </row>
    <row r="73" spans="34:43" x14ac:dyDescent="0.35">
      <c r="AK73" s="61"/>
    </row>
  </sheetData>
  <sheetProtection algorithmName="SHA-512" hashValue="lRdr+VRD6wi7J41aNuHlZPMnfRRgY3Adxy/T7QUX57V4jLYH760aAKGSGqKKlZcLxBuVaBshDmefG6MHOa5NKQ==" saltValue="7aVFMu1XAMf3eCFsyHBJMw==" spinCount="100000" sheet="1" objects="1" scenarios="1"/>
  <mergeCells count="9">
    <mergeCell ref="B38:F38"/>
    <mergeCell ref="Q3:S3"/>
    <mergeCell ref="V3:X3"/>
    <mergeCell ref="B36:AE36"/>
    <mergeCell ref="B3:D3"/>
    <mergeCell ref="G3:I3"/>
    <mergeCell ref="L3:N3"/>
    <mergeCell ref="AA3:AC3"/>
    <mergeCell ref="F24:AC24"/>
  </mergeCells>
  <phoneticPr fontId="15" type="noConversion"/>
  <hyperlinks>
    <hyperlink ref="AQ72" r:id="rId1" display="https://www.asak.no/Produkter/Heller/Asak-Flyt" xr:uid="{A888BD34-47D8-40CE-9086-CF5932A28ADD}"/>
    <hyperlink ref="AM36" r:id="rId2" xr:uid="{DEA78EC7-F288-4AA6-A40C-E89C9DC12DF4}"/>
    <hyperlink ref="AM37" r:id="rId3" xr:uid="{4856FE14-6203-4DFA-97AA-05102A6192EA}"/>
    <hyperlink ref="AM38" r:id="rId4" xr:uid="{2C404AB4-9249-4F72-AF73-452C99FA386C}"/>
    <hyperlink ref="AM39" r:id="rId5" xr:uid="{6CDDC29E-73E3-4D37-9809-A6C743D657E8}"/>
    <hyperlink ref="AM40" r:id="rId6" xr:uid="{769B5057-8078-4DF8-997B-5ED741EA3AE4}"/>
    <hyperlink ref="AM41" r:id="rId7" xr:uid="{D537A481-F76D-498F-9115-0C9038C2C9F7}"/>
    <hyperlink ref="AM42" r:id="rId8" xr:uid="{461E09BF-E4CA-4940-9C9D-E115BBFD9DC8}"/>
    <hyperlink ref="AM43" r:id="rId9" xr:uid="{E06BF762-D9C8-4F3B-A534-3F97633FE6C0}"/>
    <hyperlink ref="AM44" r:id="rId10" xr:uid="{CFC2B2CB-B22A-4796-ACE8-40A2A743BAB6}"/>
    <hyperlink ref="AM45" r:id="rId11" xr:uid="{35E4B033-8538-414E-86F2-D82657AAB431}"/>
    <hyperlink ref="AM46" r:id="rId12" xr:uid="{83F3703D-48B6-495A-9A37-D447D5CDC167}"/>
    <hyperlink ref="AM47" r:id="rId13" xr:uid="{5C49A5F7-8A91-453A-AB2C-FBBB8F0BA92B}"/>
    <hyperlink ref="AM48" r:id="rId14" xr:uid="{083CD509-ADCA-44E7-8DD2-830BC9D7AE2A}"/>
    <hyperlink ref="AM49" r:id="rId15" xr:uid="{DF6ADC8C-53B7-4341-9BFD-C889BAA79981}"/>
    <hyperlink ref="AM50" r:id="rId16" xr:uid="{39D98B80-A6A7-48E7-B816-ACBCC0CE03E1}"/>
    <hyperlink ref="B38" r:id="rId17" display="https://www.asfaltgjenvinning.no/nyheter/gjenbruksveilederen" xr:uid="{9112DFC2-8CBE-4384-B2FC-C2CB99C1D6CE}"/>
  </hyperlinks>
  <pageMargins left="0.7" right="0.7" top="0.75" bottom="0.75" header="0.3" footer="0.3"/>
  <pageSetup paperSize="9" orientation="portrait" horizontalDpi="300" verticalDpi="300" r:id="rId18"/>
  <drawing r:id="rId1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D3090-2813-4D24-AAA8-66A6B2AB3D13}">
  <sheetPr>
    <tabColor theme="9" tint="0.79998168889431442"/>
  </sheetPr>
  <dimension ref="B2:U40"/>
  <sheetViews>
    <sheetView showGridLines="0" zoomScaleNormal="100" workbookViewId="0">
      <selection activeCell="M12" sqref="M12"/>
    </sheetView>
  </sheetViews>
  <sheetFormatPr defaultColWidth="8.81640625" defaultRowHeight="14.5" x14ac:dyDescent="0.35"/>
  <cols>
    <col min="1" max="1" width="8.81640625" style="12"/>
    <col min="2" max="2" width="36.81640625" style="12" bestFit="1" customWidth="1"/>
    <col min="3" max="3" width="12.453125" style="12" customWidth="1"/>
    <col min="4" max="5" width="8.81640625" style="12"/>
    <col min="6" max="6" width="36.81640625" style="12" bestFit="1" customWidth="1"/>
    <col min="7" max="7" width="12.453125" style="12" customWidth="1"/>
    <col min="8" max="9" width="8.81640625" style="12"/>
    <col min="10" max="10" width="24.81640625" style="12" bestFit="1" customWidth="1"/>
    <col min="11" max="16384" width="8.81640625" style="12"/>
  </cols>
  <sheetData>
    <row r="2" spans="2:21" x14ac:dyDescent="0.35">
      <c r="C2" s="99"/>
      <c r="D2" s="67" t="s">
        <v>366</v>
      </c>
    </row>
    <row r="3" spans="2:21" x14ac:dyDescent="0.35">
      <c r="C3" s="103"/>
      <c r="D3" s="67" t="s">
        <v>365</v>
      </c>
    </row>
    <row r="5" spans="2:21" x14ac:dyDescent="0.35">
      <c r="B5" s="155" t="s">
        <v>138</v>
      </c>
      <c r="C5" s="155"/>
      <c r="D5" s="155"/>
      <c r="F5" s="155" t="s">
        <v>139</v>
      </c>
      <c r="G5" s="155"/>
      <c r="H5" s="155"/>
      <c r="J5" s="159" t="s">
        <v>140</v>
      </c>
      <c r="K5" s="159"/>
      <c r="L5" s="159"/>
      <c r="M5" s="159"/>
    </row>
    <row r="6" spans="2:21" x14ac:dyDescent="0.35">
      <c r="B6" s="42"/>
      <c r="C6" s="42"/>
      <c r="D6" s="43"/>
      <c r="F6" s="42"/>
      <c r="G6" s="42"/>
      <c r="H6" s="43"/>
    </row>
    <row r="7" spans="2:21" x14ac:dyDescent="0.35">
      <c r="B7" s="12" t="s">
        <v>141</v>
      </c>
      <c r="C7" s="42" t="s">
        <v>14</v>
      </c>
      <c r="D7" s="101">
        <f>M9*M15</f>
        <v>0</v>
      </c>
      <c r="F7" s="12" t="s">
        <v>141</v>
      </c>
      <c r="G7" s="42" t="s">
        <v>14</v>
      </c>
      <c r="H7" s="101">
        <f>M9*M15</f>
        <v>0</v>
      </c>
      <c r="J7" s="42" t="s">
        <v>142</v>
      </c>
      <c r="L7" s="157" t="s">
        <v>143</v>
      </c>
      <c r="M7" s="158"/>
    </row>
    <row r="8" spans="2:21" x14ac:dyDescent="0.35">
      <c r="B8" s="12" t="s">
        <v>144</v>
      </c>
      <c r="C8" s="12" t="s">
        <v>14</v>
      </c>
      <c r="D8" s="101">
        <f>M10*M15</f>
        <v>0</v>
      </c>
      <c r="F8" s="12" t="s">
        <v>145</v>
      </c>
      <c r="G8" s="42" t="s">
        <v>14</v>
      </c>
      <c r="H8" s="101">
        <f>M10*M14</f>
        <v>0</v>
      </c>
    </row>
    <row r="9" spans="2:21" x14ac:dyDescent="0.35">
      <c r="B9" s="12" t="s">
        <v>146</v>
      </c>
      <c r="C9" s="42" t="s">
        <v>14</v>
      </c>
      <c r="D9" s="101">
        <f>M11*M14</f>
        <v>0</v>
      </c>
      <c r="F9" s="12" t="s">
        <v>146</v>
      </c>
      <c r="G9" s="42" t="s">
        <v>14</v>
      </c>
      <c r="H9" s="101">
        <f>M11*M14</f>
        <v>0</v>
      </c>
      <c r="J9" s="12" t="s">
        <v>147</v>
      </c>
      <c r="L9" s="42" t="s">
        <v>148</v>
      </c>
      <c r="M9" s="134"/>
    </row>
    <row r="10" spans="2:21" ht="15" customHeight="1" x14ac:dyDescent="0.35">
      <c r="J10" s="12" t="s">
        <v>149</v>
      </c>
      <c r="L10" s="42" t="s">
        <v>148</v>
      </c>
      <c r="M10" s="134"/>
      <c r="O10" s="104"/>
      <c r="P10" s="104"/>
      <c r="Q10" s="104"/>
      <c r="R10" s="104"/>
      <c r="S10" s="104"/>
      <c r="T10" s="104"/>
      <c r="U10" s="104"/>
    </row>
    <row r="11" spans="2:21" x14ac:dyDescent="0.35">
      <c r="B11" s="12" t="s">
        <v>150</v>
      </c>
      <c r="C11" s="12" t="s">
        <v>14</v>
      </c>
      <c r="D11" s="44">
        <f>D7+D8</f>
        <v>0</v>
      </c>
      <c r="F11" s="12" t="s">
        <v>150</v>
      </c>
      <c r="G11" s="12" t="s">
        <v>14</v>
      </c>
      <c r="H11" s="44">
        <f>H7</f>
        <v>0</v>
      </c>
      <c r="J11" s="12" t="s">
        <v>151</v>
      </c>
      <c r="L11" s="42" t="s">
        <v>148</v>
      </c>
      <c r="M11" s="134"/>
      <c r="O11" s="104"/>
      <c r="P11" s="104"/>
      <c r="Q11" s="104"/>
      <c r="R11" s="104"/>
      <c r="S11" s="104"/>
      <c r="T11" s="104"/>
      <c r="U11" s="104"/>
    </row>
    <row r="12" spans="2:21" x14ac:dyDescent="0.35">
      <c r="B12" s="12" t="s">
        <v>152</v>
      </c>
      <c r="C12" s="12" t="s">
        <v>14</v>
      </c>
      <c r="D12" s="44">
        <f>D9</f>
        <v>0</v>
      </c>
      <c r="F12" s="12" t="s">
        <v>152</v>
      </c>
      <c r="G12" s="12" t="s">
        <v>14</v>
      </c>
      <c r="H12" s="44">
        <f xml:space="preserve"> SUM(H8:H9)</f>
        <v>0</v>
      </c>
      <c r="J12" s="12" t="s">
        <v>153</v>
      </c>
      <c r="L12" s="42" t="s">
        <v>148</v>
      </c>
      <c r="M12" s="134"/>
      <c r="O12" s="104"/>
      <c r="P12" s="104"/>
      <c r="Q12" s="104"/>
      <c r="R12" s="104"/>
      <c r="S12" s="104"/>
      <c r="T12" s="104"/>
      <c r="U12" s="104"/>
    </row>
    <row r="13" spans="2:21" x14ac:dyDescent="0.35">
      <c r="B13" s="12" t="s">
        <v>154</v>
      </c>
      <c r="C13" s="42" t="s">
        <v>14</v>
      </c>
      <c r="D13" s="44">
        <f xml:space="preserve"> SUM(M9:M12)*M14 - D12</f>
        <v>0</v>
      </c>
      <c r="F13" s="12" t="s">
        <v>154</v>
      </c>
      <c r="G13" s="42" t="s">
        <v>14</v>
      </c>
      <c r="H13" s="44">
        <f>SUM(M9:M12)*M14 - H12</f>
        <v>0</v>
      </c>
      <c r="O13" s="104"/>
      <c r="P13" s="104"/>
      <c r="Q13" s="104"/>
      <c r="R13" s="104"/>
      <c r="S13" s="104"/>
      <c r="T13" s="104"/>
      <c r="U13" s="104"/>
    </row>
    <row r="14" spans="2:21" x14ac:dyDescent="0.35">
      <c r="J14" s="42" t="s">
        <v>155</v>
      </c>
      <c r="L14" s="42" t="s">
        <v>156</v>
      </c>
      <c r="M14" s="102" cm="1">
        <f t="array" ref="M14" xml:space="preserve"> _xlfn.IFS(L7=J29,K29*L27,L7=J30,K30*L24,L7=J31,K31*L25)</f>
        <v>1.9547999999999999</v>
      </c>
      <c r="O14" s="104"/>
      <c r="P14" s="104"/>
      <c r="Q14" s="104"/>
      <c r="R14" s="104"/>
      <c r="S14" s="104"/>
      <c r="T14" s="104"/>
      <c r="U14" s="104"/>
    </row>
    <row r="15" spans="2:21" x14ac:dyDescent="0.35">
      <c r="B15" s="12" t="s">
        <v>157</v>
      </c>
      <c r="C15" s="42" t="s">
        <v>75</v>
      </c>
      <c r="D15" s="59">
        <v>3.6775000000000002E-3</v>
      </c>
      <c r="F15" s="12" t="s">
        <v>157</v>
      </c>
      <c r="G15" s="42" t="s">
        <v>75</v>
      </c>
      <c r="H15" s="59">
        <v>3.6775000000000002E-3</v>
      </c>
      <c r="J15" s="12" t="s">
        <v>158</v>
      </c>
      <c r="L15" s="12" t="s">
        <v>156</v>
      </c>
      <c r="M15" s="102">
        <v>1.9375</v>
      </c>
      <c r="O15" s="104"/>
      <c r="P15" s="104"/>
      <c r="Q15" s="104"/>
      <c r="R15" s="104"/>
      <c r="S15" s="104"/>
      <c r="T15" s="104"/>
      <c r="U15" s="104"/>
    </row>
    <row r="17" spans="2:13" x14ac:dyDescent="0.35">
      <c r="J17" s="12" t="s">
        <v>159</v>
      </c>
    </row>
    <row r="18" spans="2:13" x14ac:dyDescent="0.35">
      <c r="B18" s="45" t="s">
        <v>160</v>
      </c>
      <c r="F18" s="45" t="s">
        <v>160</v>
      </c>
    </row>
    <row r="19" spans="2:13" x14ac:dyDescent="0.35">
      <c r="B19" s="42" t="s">
        <v>161</v>
      </c>
      <c r="C19" s="42" t="s">
        <v>21</v>
      </c>
      <c r="D19" s="134"/>
      <c r="F19" s="42" t="s">
        <v>161</v>
      </c>
      <c r="G19" s="42" t="s">
        <v>21</v>
      </c>
      <c r="H19" s="134"/>
      <c r="I19" s="62"/>
    </row>
    <row r="20" spans="2:13" x14ac:dyDescent="0.35">
      <c r="B20" s="42" t="s">
        <v>162</v>
      </c>
      <c r="C20" s="42" t="s">
        <v>21</v>
      </c>
      <c r="D20" s="134"/>
      <c r="F20" s="42" t="s">
        <v>162</v>
      </c>
      <c r="G20" s="42" t="s">
        <v>21</v>
      </c>
      <c r="H20" s="134"/>
      <c r="J20" s="155" t="s">
        <v>376</v>
      </c>
      <c r="K20" s="155"/>
      <c r="L20" s="155"/>
      <c r="M20" s="155"/>
    </row>
    <row r="21" spans="2:13" x14ac:dyDescent="0.35">
      <c r="B21" s="12" t="s">
        <v>164</v>
      </c>
      <c r="C21" s="12" t="s">
        <v>21</v>
      </c>
      <c r="D21" s="134"/>
      <c r="E21" s="63"/>
      <c r="F21" s="12" t="s">
        <v>164</v>
      </c>
      <c r="G21" s="12" t="s">
        <v>21</v>
      </c>
      <c r="H21" s="134"/>
      <c r="J21" s="42"/>
      <c r="K21" s="54" t="s">
        <v>165</v>
      </c>
      <c r="L21" s="54" t="s">
        <v>166</v>
      </c>
      <c r="M21" s="54" t="s">
        <v>167</v>
      </c>
    </row>
    <row r="22" spans="2:13" x14ac:dyDescent="0.35">
      <c r="B22" s="42" t="s">
        <v>23</v>
      </c>
      <c r="C22" s="42" t="s">
        <v>24</v>
      </c>
      <c r="D22" s="56">
        <v>0.16400000000000001</v>
      </c>
      <c r="F22" s="42" t="s">
        <v>23</v>
      </c>
      <c r="G22" s="42" t="s">
        <v>24</v>
      </c>
      <c r="H22" s="56">
        <v>0.16400000000000001</v>
      </c>
      <c r="I22" s="62"/>
      <c r="J22" s="45" t="s">
        <v>168</v>
      </c>
      <c r="K22" s="41" t="s">
        <v>169</v>
      </c>
      <c r="L22" s="41" t="s">
        <v>170</v>
      </c>
      <c r="M22" s="41" t="s">
        <v>171</v>
      </c>
    </row>
    <row r="23" spans="2:13" x14ac:dyDescent="0.35">
      <c r="J23" s="42" t="s">
        <v>172</v>
      </c>
      <c r="K23" s="89">
        <v>1</v>
      </c>
      <c r="L23" s="89">
        <v>1.8</v>
      </c>
      <c r="M23" s="89">
        <v>1.5</v>
      </c>
    </row>
    <row r="24" spans="2:13" x14ac:dyDescent="0.35">
      <c r="J24" s="42" t="s">
        <v>173</v>
      </c>
      <c r="K24" s="89">
        <v>1</v>
      </c>
      <c r="L24" s="89">
        <v>1.6</v>
      </c>
      <c r="M24" s="89">
        <v>1.4</v>
      </c>
    </row>
    <row r="25" spans="2:13" x14ac:dyDescent="0.35">
      <c r="B25" s="15" t="s">
        <v>174</v>
      </c>
      <c r="F25" s="15" t="s">
        <v>174</v>
      </c>
      <c r="J25" s="42" t="s">
        <v>175</v>
      </c>
      <c r="K25" s="89">
        <v>1</v>
      </c>
      <c r="L25" s="89">
        <v>1.25</v>
      </c>
      <c r="M25" s="89">
        <v>1.1000000000000001</v>
      </c>
    </row>
    <row r="26" spans="2:13" x14ac:dyDescent="0.35">
      <c r="B26" s="12" t="s">
        <v>176</v>
      </c>
      <c r="C26" s="12" t="s">
        <v>34</v>
      </c>
      <c r="D26" s="44">
        <f xml:space="preserve"> D11*1000*D15</f>
        <v>0</v>
      </c>
      <c r="F26" s="12" t="s">
        <v>176</v>
      </c>
      <c r="G26" s="12" t="s">
        <v>34</v>
      </c>
      <c r="H26" s="44">
        <f xml:space="preserve"> H11*1000*H15</f>
        <v>0</v>
      </c>
      <c r="J26" s="42" t="s">
        <v>177</v>
      </c>
      <c r="K26" s="89">
        <v>1</v>
      </c>
      <c r="L26" s="89">
        <v>1.1499999999999999</v>
      </c>
      <c r="M26" s="89">
        <v>1</v>
      </c>
    </row>
    <row r="27" spans="2:13" x14ac:dyDescent="0.35">
      <c r="B27" s="12" t="s">
        <v>178</v>
      </c>
      <c r="C27" s="12" t="s">
        <v>34</v>
      </c>
      <c r="D27" s="44">
        <f xml:space="preserve"> (2*D12*D19 + D13*D20 + D11*D21)*D22</f>
        <v>0</v>
      </c>
      <c r="F27" s="12" t="s">
        <v>178</v>
      </c>
      <c r="G27" s="12" t="s">
        <v>34</v>
      </c>
      <c r="H27" s="44">
        <f xml:space="preserve"> (2*H12*H19 + H13*H20 + H11*H21)*H22</f>
        <v>0</v>
      </c>
      <c r="J27" s="42" t="s">
        <v>179</v>
      </c>
      <c r="K27" s="89">
        <v>1</v>
      </c>
      <c r="L27" s="89">
        <v>1.2</v>
      </c>
      <c r="M27" s="89">
        <v>1.05</v>
      </c>
    </row>
    <row r="28" spans="2:13" x14ac:dyDescent="0.35">
      <c r="J28" s="42"/>
      <c r="K28" s="42"/>
      <c r="L28" s="42"/>
      <c r="M28" s="42"/>
    </row>
    <row r="29" spans="2:13" x14ac:dyDescent="0.35">
      <c r="B29" s="45" t="s">
        <v>33</v>
      </c>
      <c r="C29" s="45" t="s">
        <v>34</v>
      </c>
      <c r="D29" s="46">
        <f>$D$26+$D$27</f>
        <v>0</v>
      </c>
      <c r="F29" s="45" t="s">
        <v>33</v>
      </c>
      <c r="G29" s="45" t="s">
        <v>34</v>
      </c>
      <c r="H29" s="46">
        <f>$H$26+$H$27</f>
        <v>0</v>
      </c>
      <c r="J29" s="42" t="s">
        <v>143</v>
      </c>
      <c r="K29" s="73">
        <v>1.629</v>
      </c>
      <c r="L29" s="42" t="s">
        <v>180</v>
      </c>
      <c r="M29" s="55" t="s">
        <v>181</v>
      </c>
    </row>
    <row r="30" spans="2:13" x14ac:dyDescent="0.35">
      <c r="J30" s="42" t="s">
        <v>182</v>
      </c>
      <c r="K30" s="42">
        <v>1.66</v>
      </c>
      <c r="L30" s="42" t="s">
        <v>180</v>
      </c>
      <c r="M30" s="55" t="s">
        <v>181</v>
      </c>
    </row>
    <row r="31" spans="2:13" x14ac:dyDescent="0.35">
      <c r="J31" s="12" t="s">
        <v>183</v>
      </c>
      <c r="K31" s="12">
        <v>1.55</v>
      </c>
      <c r="L31" s="42" t="s">
        <v>180</v>
      </c>
      <c r="M31" s="55" t="s">
        <v>181</v>
      </c>
    </row>
    <row r="33" spans="2:4" x14ac:dyDescent="0.35">
      <c r="B33" s="155" t="s">
        <v>184</v>
      </c>
      <c r="C33" s="155"/>
      <c r="D33" s="155"/>
    </row>
    <row r="34" spans="2:4" x14ac:dyDescent="0.35">
      <c r="B34" s="42"/>
      <c r="C34" s="42"/>
      <c r="D34" s="43"/>
    </row>
    <row r="35" spans="2:4" x14ac:dyDescent="0.35">
      <c r="B35" s="42" t="s">
        <v>185</v>
      </c>
      <c r="C35" s="42" t="s">
        <v>34</v>
      </c>
      <c r="D35" s="44">
        <f>$D$29</f>
        <v>0</v>
      </c>
    </row>
    <row r="36" spans="2:4" x14ac:dyDescent="0.35">
      <c r="B36" s="42" t="s">
        <v>186</v>
      </c>
      <c r="C36" s="42" t="s">
        <v>34</v>
      </c>
      <c r="D36" s="44">
        <f>$H$29</f>
        <v>0</v>
      </c>
    </row>
    <row r="37" spans="2:4" x14ac:dyDescent="0.35">
      <c r="B37" s="42"/>
      <c r="C37" s="42"/>
      <c r="D37" s="43"/>
    </row>
    <row r="38" spans="2:4" x14ac:dyDescent="0.35">
      <c r="B38" s="42"/>
      <c r="C38" s="42"/>
      <c r="D38" s="43"/>
    </row>
    <row r="39" spans="2:4" x14ac:dyDescent="0.35">
      <c r="B39" s="45" t="s">
        <v>52</v>
      </c>
      <c r="C39" s="45" t="s">
        <v>34</v>
      </c>
      <c r="D39" s="48">
        <f>$D$35-$D$36</f>
        <v>0</v>
      </c>
    </row>
    <row r="40" spans="2:4" x14ac:dyDescent="0.35">
      <c r="B40" s="42"/>
      <c r="C40" s="45" t="s">
        <v>54</v>
      </c>
      <c r="D40" s="65">
        <f>D39/1000</f>
        <v>0</v>
      </c>
    </row>
  </sheetData>
  <sheetProtection algorithmName="SHA-512" hashValue="82w21hzcNq8BZJfWl4V9J1M3mW/+UhL4sQhLUQcuocAZu5fRGMiKhz5G8LcScLa6PkQGWIPdLDpM/0zVNVatzw==" saltValue="Peq0AMuBs5EMQhtAGu7aZg==" spinCount="100000" sheet="1" objects="1" scenarios="1"/>
  <mergeCells count="6">
    <mergeCell ref="B5:D5"/>
    <mergeCell ref="F5:H5"/>
    <mergeCell ref="B33:D33"/>
    <mergeCell ref="L7:M7"/>
    <mergeCell ref="J5:M5"/>
    <mergeCell ref="J20:M2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showErrorMessage="1" errorTitle="Ugyldig massevalg" error="Vennligst velg en massetype fra lista" promptTitle="Masse" prompt="Velg type stedlige masser" xr:uid="{25AC786E-D756-4BA2-B300-672C41784A47}">
          <x14:formula1>
            <xm:f>Massetransport!$R$7:$R$9</xm:f>
          </x14:formula1>
          <xm:sqref>L7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44229-5B6B-4C54-B9C4-A04E3A823DD2}">
  <sheetPr>
    <tabColor theme="9" tint="0.79998168889431442"/>
  </sheetPr>
  <dimension ref="B2:Z115"/>
  <sheetViews>
    <sheetView showGridLines="0" topLeftCell="B1" zoomScaleNormal="100" workbookViewId="0">
      <selection activeCell="D6" sqref="D6"/>
    </sheetView>
  </sheetViews>
  <sheetFormatPr defaultColWidth="9.1796875" defaultRowHeight="14.5" x14ac:dyDescent="0.35"/>
  <cols>
    <col min="1" max="1" width="9.1796875" style="12"/>
    <col min="2" max="2" width="28.54296875" style="12" bestFit="1" customWidth="1"/>
    <col min="3" max="3" width="12.1796875" style="12" bestFit="1" customWidth="1"/>
    <col min="4" max="4" width="22.54296875" style="12" customWidth="1"/>
    <col min="5" max="6" width="9.1796875" style="12"/>
    <col min="7" max="7" width="25.54296875" style="12" bestFit="1" customWidth="1"/>
    <col min="8" max="8" width="12.1796875" style="12" bestFit="1" customWidth="1"/>
    <col min="9" max="9" width="20.26953125" style="12" customWidth="1"/>
    <col min="10" max="11" width="9.1796875" style="12"/>
    <col min="13" max="13" width="18.453125" style="12" bestFit="1" customWidth="1"/>
    <col min="14" max="14" width="9.54296875" style="12" customWidth="1"/>
    <col min="15" max="15" width="9.54296875" style="12" bestFit="1" customWidth="1"/>
    <col min="16" max="16" width="9.1796875" style="12"/>
    <col min="17" max="17" width="37.54296875" style="12" customWidth="1"/>
    <col min="18" max="18" width="15.1796875" style="12" customWidth="1"/>
    <col min="19" max="19" width="14.453125" style="12" customWidth="1"/>
    <col min="20" max="21" width="10.7265625" style="12" customWidth="1"/>
    <col min="22" max="22" width="16.54296875" style="12" customWidth="1"/>
    <col min="23" max="23" width="9.1796875" style="12"/>
    <col min="24" max="24" width="12.453125" style="12" customWidth="1"/>
    <col min="25" max="16384" width="9.1796875" style="12"/>
  </cols>
  <sheetData>
    <row r="2" spans="2:20" x14ac:dyDescent="0.35">
      <c r="B2" s="160" t="s">
        <v>421</v>
      </c>
      <c r="C2" s="160"/>
      <c r="D2" s="160"/>
      <c r="E2" s="1"/>
      <c r="F2" s="1"/>
      <c r="G2" s="160" t="s">
        <v>422</v>
      </c>
      <c r="H2" s="160"/>
      <c r="I2" s="160"/>
    </row>
    <row r="3" spans="2:20" x14ac:dyDescent="0.35">
      <c r="B3" s="1"/>
      <c r="C3" s="1"/>
      <c r="D3" s="5"/>
      <c r="E3" s="1"/>
      <c r="F3" s="1"/>
      <c r="G3" s="1"/>
      <c r="H3" s="1"/>
      <c r="I3" s="5"/>
    </row>
    <row r="4" spans="2:20" x14ac:dyDescent="0.35">
      <c r="B4" s="12" t="s">
        <v>423</v>
      </c>
      <c r="D4" s="152" t="s">
        <v>397</v>
      </c>
      <c r="G4" s="12" t="s">
        <v>423</v>
      </c>
      <c r="I4" s="152" t="s">
        <v>392</v>
      </c>
      <c r="M4" s="2"/>
      <c r="Q4" s="122" t="s">
        <v>485</v>
      </c>
      <c r="R4" s="58"/>
      <c r="S4" s="58"/>
    </row>
    <row r="5" spans="2:20" x14ac:dyDescent="0.35">
      <c r="B5" s="1" t="s">
        <v>187</v>
      </c>
      <c r="C5" s="1" t="s">
        <v>30</v>
      </c>
      <c r="D5" s="153">
        <v>1000</v>
      </c>
      <c r="E5" s="1"/>
      <c r="F5" s="1"/>
      <c r="G5" s="1" t="s">
        <v>187</v>
      </c>
      <c r="H5" s="1" t="s">
        <v>30</v>
      </c>
      <c r="I5" s="153">
        <v>1000</v>
      </c>
      <c r="M5" s="1"/>
      <c r="O5" s="4"/>
      <c r="Q5" s="1" t="s">
        <v>377</v>
      </c>
      <c r="R5" s="112">
        <v>2.38</v>
      </c>
      <c r="S5" s="1" t="s">
        <v>378</v>
      </c>
      <c r="T5" s="113" t="s">
        <v>382</v>
      </c>
    </row>
    <row r="6" spans="2:20" x14ac:dyDescent="0.35">
      <c r="B6" s="12" t="s">
        <v>420</v>
      </c>
      <c r="C6" s="12" t="s">
        <v>393</v>
      </c>
      <c r="D6" s="153">
        <v>300</v>
      </c>
      <c r="G6" s="12" t="s">
        <v>420</v>
      </c>
      <c r="H6" s="12" t="s">
        <v>393</v>
      </c>
      <c r="I6" s="153">
        <v>300</v>
      </c>
      <c r="M6" s="1"/>
      <c r="O6" s="4"/>
      <c r="Q6" s="1" t="s">
        <v>379</v>
      </c>
      <c r="R6" s="112">
        <v>48.666666666666664</v>
      </c>
      <c r="S6" s="1" t="s">
        <v>378</v>
      </c>
      <c r="T6" s="1"/>
    </row>
    <row r="7" spans="2:20" x14ac:dyDescent="0.35">
      <c r="M7" s="1"/>
      <c r="Q7" s="1" t="s">
        <v>380</v>
      </c>
      <c r="R7" s="112">
        <v>2.11</v>
      </c>
      <c r="S7" s="1" t="s">
        <v>378</v>
      </c>
      <c r="T7" s="113" t="s">
        <v>383</v>
      </c>
    </row>
    <row r="8" spans="2:20" x14ac:dyDescent="0.35">
      <c r="M8" s="1"/>
      <c r="Q8" s="1" t="s">
        <v>381</v>
      </c>
      <c r="R8" s="112">
        <v>5.34</v>
      </c>
      <c r="S8" s="1" t="s">
        <v>378</v>
      </c>
      <c r="T8" s="113" t="s">
        <v>384</v>
      </c>
    </row>
    <row r="9" spans="2:20" x14ac:dyDescent="0.35">
      <c r="B9" s="1" t="s">
        <v>188</v>
      </c>
      <c r="C9" s="1" t="s">
        <v>189</v>
      </c>
      <c r="D9" s="35">
        <f>IF(D4="Velg materiale","Materiale ikke valgt",VLOOKUP($D$4&amp;" | "&amp;$D$6,$V$18:$W$66,2,0))</f>
        <v>98.05831438611655</v>
      </c>
      <c r="E9" s="1"/>
      <c r="F9" s="1"/>
      <c r="G9" s="1" t="s">
        <v>188</v>
      </c>
      <c r="H9" s="1" t="s">
        <v>189</v>
      </c>
      <c r="I9" s="35">
        <f>IF(I4="Velg materiale","Materiale ikke valgt",VLOOKUP($I$4&amp;" | "&amp;$I$6,$V$18:$W$66,2,0))</f>
        <v>56.888207787752435</v>
      </c>
      <c r="J9" s="123"/>
      <c r="M9" s="1"/>
      <c r="Q9" s="1" t="s">
        <v>385</v>
      </c>
      <c r="R9" s="112">
        <v>513.76599999999996</v>
      </c>
      <c r="S9" s="1" t="s">
        <v>378</v>
      </c>
      <c r="T9" s="113" t="s">
        <v>386</v>
      </c>
    </row>
    <row r="10" spans="2:20" x14ac:dyDescent="0.35">
      <c r="B10" s="1"/>
      <c r="C10" s="1"/>
      <c r="D10" s="5"/>
      <c r="E10" s="1"/>
      <c r="F10" s="1"/>
      <c r="G10" s="1"/>
      <c r="H10" s="1"/>
      <c r="I10" s="5"/>
      <c r="J10" s="123"/>
      <c r="M10" s="1"/>
      <c r="Q10" s="1" t="s">
        <v>377</v>
      </c>
      <c r="R10" s="112">
        <v>2.38</v>
      </c>
      <c r="S10" s="1" t="s">
        <v>189</v>
      </c>
      <c r="T10" s="113" t="s">
        <v>389</v>
      </c>
    </row>
    <row r="11" spans="2:20" x14ac:dyDescent="0.35">
      <c r="B11" s="1"/>
      <c r="C11" s="1"/>
      <c r="D11" s="5"/>
      <c r="E11" s="1"/>
      <c r="F11" s="1"/>
      <c r="G11" s="1"/>
      <c r="H11" s="1"/>
      <c r="I11" s="5"/>
      <c r="J11" s="123"/>
      <c r="Q11" s="1" t="s">
        <v>387</v>
      </c>
      <c r="R11" s="112">
        <v>9.16</v>
      </c>
      <c r="S11" s="1" t="s">
        <v>189</v>
      </c>
      <c r="T11" s="19" t="s">
        <v>390</v>
      </c>
    </row>
    <row r="12" spans="2:20" x14ac:dyDescent="0.35">
      <c r="B12" s="1" t="s">
        <v>191</v>
      </c>
      <c r="C12" s="1" t="s">
        <v>21</v>
      </c>
      <c r="D12" s="153">
        <v>50</v>
      </c>
      <c r="E12" s="1"/>
      <c r="F12" s="1"/>
      <c r="G12" s="1" t="s">
        <v>191</v>
      </c>
      <c r="H12" s="1" t="s">
        <v>21</v>
      </c>
      <c r="I12" s="153">
        <v>50</v>
      </c>
      <c r="J12" s="123"/>
      <c r="Q12" s="1" t="s">
        <v>388</v>
      </c>
      <c r="R12" s="112">
        <v>4.0999999999999996</v>
      </c>
      <c r="S12" s="1" t="s">
        <v>189</v>
      </c>
      <c r="T12" s="19" t="s">
        <v>391</v>
      </c>
    </row>
    <row r="13" spans="2:20" x14ac:dyDescent="0.35">
      <c r="B13" s="1" t="s">
        <v>193</v>
      </c>
      <c r="C13" s="1" t="s">
        <v>192</v>
      </c>
      <c r="D13" s="35">
        <f>IF(D6="Velg dimensjon","Dimensjon ikke valgt",VLOOKUP($D$4&amp;" | "&amp;$D$6,$V$18:$Y$66,4,0))</f>
        <v>61.5</v>
      </c>
      <c r="E13" s="1"/>
      <c r="F13" s="1"/>
      <c r="G13" s="1" t="s">
        <v>193</v>
      </c>
      <c r="H13" s="1" t="s">
        <v>192</v>
      </c>
      <c r="I13" s="35">
        <f>IF(I6="Velg dimensjon","Dimensjon ikke valgt",VLOOKUP($I$4&amp;" | "&amp;$I$6,$V$18:$Y$66,4,0))</f>
        <v>24</v>
      </c>
      <c r="J13" s="123"/>
    </row>
    <row r="14" spans="2:20" x14ac:dyDescent="0.35">
      <c r="B14" s="1"/>
      <c r="C14" s="1"/>
      <c r="D14" s="5"/>
      <c r="E14" s="1"/>
      <c r="F14" s="1"/>
      <c r="G14" s="1"/>
      <c r="H14" s="1"/>
      <c r="I14" s="5"/>
      <c r="J14" s="123"/>
    </row>
    <row r="15" spans="2:20" x14ac:dyDescent="0.35">
      <c r="B15" s="1" t="s">
        <v>23</v>
      </c>
      <c r="C15" s="1" t="s">
        <v>24</v>
      </c>
      <c r="D15" s="8">
        <v>0.16400000000000001</v>
      </c>
      <c r="E15" s="1"/>
      <c r="F15" s="1"/>
      <c r="G15" s="1" t="s">
        <v>23</v>
      </c>
      <c r="H15" s="1" t="s">
        <v>24</v>
      </c>
      <c r="I15" s="8">
        <v>0.16400000000000001</v>
      </c>
      <c r="J15" s="123"/>
    </row>
    <row r="16" spans="2:20" x14ac:dyDescent="0.35">
      <c r="B16" s="1"/>
      <c r="C16" s="1"/>
      <c r="D16" s="5"/>
      <c r="E16" s="1"/>
      <c r="F16" s="1"/>
      <c r="G16" s="1"/>
      <c r="H16" s="1"/>
      <c r="I16" s="5"/>
      <c r="J16" s="123"/>
    </row>
    <row r="17" spans="2:26" x14ac:dyDescent="0.35">
      <c r="B17" s="1"/>
      <c r="C17" s="1"/>
      <c r="D17" s="5"/>
      <c r="E17" s="1"/>
      <c r="F17" s="1"/>
      <c r="G17" s="1"/>
      <c r="H17" s="1"/>
      <c r="I17" s="5"/>
      <c r="J17" s="124"/>
      <c r="Q17" s="122" t="s">
        <v>486</v>
      </c>
      <c r="R17" s="58"/>
      <c r="V17" s="122" t="s">
        <v>487</v>
      </c>
      <c r="W17" s="58"/>
      <c r="X17" s="58"/>
      <c r="Y17" s="58"/>
      <c r="Z17" s="58"/>
    </row>
    <row r="18" spans="2:26" x14ac:dyDescent="0.35">
      <c r="B18" s="1"/>
      <c r="C18" s="1"/>
      <c r="D18" s="5"/>
      <c r="E18" s="1"/>
      <c r="F18" s="1"/>
      <c r="G18" s="1"/>
      <c r="H18" s="1"/>
      <c r="I18" s="5"/>
      <c r="J18" s="123"/>
      <c r="Q18" s="12" t="s">
        <v>425</v>
      </c>
      <c r="R18" s="12" t="s">
        <v>482</v>
      </c>
      <c r="V18" s="116" t="s">
        <v>433</v>
      </c>
      <c r="W18" s="85">
        <v>7.3480601725846899</v>
      </c>
      <c r="X18" s="12" t="s">
        <v>190</v>
      </c>
      <c r="Y18" s="14">
        <v>3.1</v>
      </c>
      <c r="Z18" s="1" t="s">
        <v>192</v>
      </c>
    </row>
    <row r="19" spans="2:26" x14ac:dyDescent="0.35">
      <c r="B19" s="1" t="s">
        <v>176</v>
      </c>
      <c r="C19" s="1" t="s">
        <v>34</v>
      </c>
      <c r="D19" s="9">
        <f>$D$9*$D$5</f>
        <v>98058.314386116544</v>
      </c>
      <c r="E19" s="1"/>
      <c r="F19" s="1"/>
      <c r="G19" s="1" t="s">
        <v>176</v>
      </c>
      <c r="H19" s="1" t="s">
        <v>34</v>
      </c>
      <c r="I19" s="9">
        <f>$I$9*$I$5</f>
        <v>56888.207787752435</v>
      </c>
      <c r="J19" s="123"/>
      <c r="Q19" s="1" t="s">
        <v>392</v>
      </c>
      <c r="R19" s="12">
        <v>100</v>
      </c>
      <c r="V19" s="117" t="s">
        <v>434</v>
      </c>
      <c r="W19" s="85">
        <v>13.629466449149021</v>
      </c>
      <c r="X19" s="12" t="s">
        <v>190</v>
      </c>
      <c r="Y19" s="14">
        <v>5.75</v>
      </c>
      <c r="Z19" s="1" t="s">
        <v>192</v>
      </c>
    </row>
    <row r="20" spans="2:26" x14ac:dyDescent="0.35">
      <c r="B20" s="1" t="s">
        <v>178</v>
      </c>
      <c r="C20" s="1" t="s">
        <v>34</v>
      </c>
      <c r="D20" s="9">
        <f>$D$12*$D$13/1000*$D$5*$D$15</f>
        <v>504.3</v>
      </c>
      <c r="E20" s="1"/>
      <c r="F20" s="1"/>
      <c r="G20" s="1" t="s">
        <v>178</v>
      </c>
      <c r="H20" s="1" t="s">
        <v>34</v>
      </c>
      <c r="I20" s="9">
        <f>$I$12*$I$13/1000*$I$5*$I$15</f>
        <v>196.8</v>
      </c>
      <c r="J20" s="123"/>
      <c r="Q20" s="1" t="s">
        <v>394</v>
      </c>
      <c r="R20" s="12">
        <v>150</v>
      </c>
      <c r="V20" s="116" t="s">
        <v>435</v>
      </c>
      <c r="W20" s="85">
        <v>24.248598569529477</v>
      </c>
      <c r="X20" s="12" t="s">
        <v>190</v>
      </c>
      <c r="Y20" s="14">
        <v>10.23</v>
      </c>
      <c r="Z20" s="1" t="s">
        <v>192</v>
      </c>
    </row>
    <row r="21" spans="2:26" ht="14.25" customHeight="1" x14ac:dyDescent="0.35">
      <c r="B21" s="1"/>
      <c r="C21" s="1"/>
      <c r="D21" s="5"/>
      <c r="E21" s="1"/>
      <c r="F21" s="1"/>
      <c r="G21" s="1"/>
      <c r="H21" s="1"/>
      <c r="I21" s="5"/>
      <c r="J21" s="123"/>
      <c r="Q21" s="1" t="s">
        <v>395</v>
      </c>
      <c r="R21" s="12">
        <v>200</v>
      </c>
      <c r="V21" s="117" t="s">
        <v>436</v>
      </c>
      <c r="W21" s="85">
        <v>40.177296750100155</v>
      </c>
      <c r="X21" s="12" t="s">
        <v>190</v>
      </c>
      <c r="Y21" s="14">
        <v>16.95</v>
      </c>
      <c r="Z21" s="1" t="s">
        <v>192</v>
      </c>
    </row>
    <row r="22" spans="2:26" ht="15.75" customHeight="1" x14ac:dyDescent="0.35">
      <c r="E22" s="1"/>
      <c r="F22" s="1"/>
      <c r="J22" s="123"/>
      <c r="Q22" s="1" t="s">
        <v>290</v>
      </c>
      <c r="R22" s="12">
        <v>250</v>
      </c>
      <c r="V22" s="116" t="s">
        <v>437</v>
      </c>
      <c r="W22" s="85">
        <v>56.888207787752435</v>
      </c>
      <c r="X22" s="12" t="s">
        <v>190</v>
      </c>
      <c r="Y22" s="14">
        <v>24</v>
      </c>
      <c r="Z22" s="1" t="s">
        <v>192</v>
      </c>
    </row>
    <row r="23" spans="2:26" ht="15.75" customHeight="1" x14ac:dyDescent="0.35">
      <c r="B23" s="2" t="s">
        <v>33</v>
      </c>
      <c r="C23" s="2" t="s">
        <v>34</v>
      </c>
      <c r="D23" s="10">
        <f>$D$19+$D$20</f>
        <v>98562.614386116547</v>
      </c>
      <c r="E23" s="1"/>
      <c r="F23" s="1"/>
      <c r="G23" s="2" t="s">
        <v>33</v>
      </c>
      <c r="H23" s="2" t="s">
        <v>34</v>
      </c>
      <c r="I23" s="10">
        <f>$I$19+$I$20</f>
        <v>57085.007787752438</v>
      </c>
      <c r="J23" s="123"/>
      <c r="Q23" s="1" t="s">
        <v>396</v>
      </c>
      <c r="R23" s="12">
        <v>300</v>
      </c>
      <c r="V23" s="117" t="s">
        <v>438</v>
      </c>
      <c r="W23" s="85">
        <v>96.709953239179143</v>
      </c>
      <c r="X23" s="12" t="s">
        <v>190</v>
      </c>
      <c r="Y23" s="14">
        <v>40.799999999999997</v>
      </c>
      <c r="Z23" s="1" t="s">
        <v>192</v>
      </c>
    </row>
    <row r="24" spans="2:26" x14ac:dyDescent="0.35">
      <c r="B24" s="1"/>
      <c r="C24" s="2" t="s">
        <v>54</v>
      </c>
      <c r="D24" s="10">
        <f>$D$23/1000</f>
        <v>98.56261438611655</v>
      </c>
      <c r="G24" s="1"/>
      <c r="H24" s="2" t="s">
        <v>54</v>
      </c>
      <c r="I24" s="10">
        <f>$I$23/1000</f>
        <v>57.085007787752438</v>
      </c>
      <c r="J24" s="123"/>
      <c r="Q24" s="1" t="s">
        <v>397</v>
      </c>
      <c r="R24" s="12">
        <v>400</v>
      </c>
      <c r="V24" s="116" t="s">
        <v>439</v>
      </c>
      <c r="W24" s="85">
        <v>237.03419911563515</v>
      </c>
      <c r="X24" s="12" t="s">
        <v>190</v>
      </c>
      <c r="Y24" s="14">
        <v>100</v>
      </c>
      <c r="Z24" s="1" t="s">
        <v>192</v>
      </c>
    </row>
    <row r="25" spans="2:26" x14ac:dyDescent="0.35">
      <c r="Q25" s="1" t="s">
        <v>413</v>
      </c>
      <c r="R25" s="12">
        <v>600</v>
      </c>
      <c r="V25" s="118" t="s">
        <v>440</v>
      </c>
      <c r="W25" s="115">
        <v>3.44199557606288</v>
      </c>
      <c r="X25" s="121" t="s">
        <v>190</v>
      </c>
      <c r="Y25" s="14">
        <v>1.4994489441000001</v>
      </c>
      <c r="Z25" s="1" t="s">
        <v>192</v>
      </c>
    </row>
    <row r="26" spans="2:26" x14ac:dyDescent="0.35">
      <c r="B26" s="11" t="s">
        <v>184</v>
      </c>
      <c r="C26" s="11"/>
      <c r="D26" s="11"/>
      <c r="E26" s="58"/>
      <c r="F26" s="58"/>
      <c r="G26" s="58"/>
      <c r="H26" s="58"/>
      <c r="I26" s="58"/>
      <c r="J26" s="58"/>
      <c r="K26" s="58"/>
      <c r="V26" s="118" t="s">
        <v>441</v>
      </c>
      <c r="W26" s="115">
        <v>6.2984465323398435</v>
      </c>
      <c r="X26" s="121" t="s">
        <v>190</v>
      </c>
      <c r="Y26" s="14">
        <v>2.7438149741000002</v>
      </c>
      <c r="Z26" s="1" t="s">
        <v>192</v>
      </c>
    </row>
    <row r="27" spans="2:26" x14ac:dyDescent="0.35">
      <c r="B27" s="1"/>
      <c r="C27" s="1"/>
      <c r="D27" s="5"/>
      <c r="E27" s="1"/>
      <c r="F27" s="1"/>
      <c r="G27" s="1"/>
      <c r="H27" s="1"/>
      <c r="I27" s="5"/>
      <c r="V27" s="118" t="s">
        <v>442</v>
      </c>
      <c r="W27" s="85">
        <v>10.474698101532898</v>
      </c>
      <c r="X27" s="12" t="s">
        <v>190</v>
      </c>
      <c r="Y27" s="14">
        <v>4.5631305041000001</v>
      </c>
      <c r="Z27" s="1" t="s">
        <v>192</v>
      </c>
    </row>
    <row r="28" spans="2:26" x14ac:dyDescent="0.35">
      <c r="B28" s="1" t="s">
        <v>483</v>
      </c>
      <c r="C28" s="1" t="s">
        <v>34</v>
      </c>
      <c r="D28" s="6">
        <f>$D$23</f>
        <v>98562.614386116547</v>
      </c>
      <c r="E28" s="1"/>
      <c r="F28" s="1"/>
      <c r="G28"/>
      <c r="H28"/>
      <c r="I28" s="87"/>
      <c r="L28" s="12"/>
      <c r="V28" s="118" t="s">
        <v>443</v>
      </c>
      <c r="W28" s="85">
        <v>15.970750283642044</v>
      </c>
      <c r="X28" s="12" t="s">
        <v>190</v>
      </c>
      <c r="Y28" s="14">
        <v>6.9573955341000007</v>
      </c>
      <c r="Z28" s="1" t="s">
        <v>192</v>
      </c>
    </row>
    <row r="29" spans="2:26" x14ac:dyDescent="0.35">
      <c r="B29" s="1" t="s">
        <v>484</v>
      </c>
      <c r="C29" s="1" t="s">
        <v>34</v>
      </c>
      <c r="D29" s="6">
        <f>$I$23</f>
        <v>57085.007787752438</v>
      </c>
      <c r="E29" s="1"/>
      <c r="F29" s="1"/>
      <c r="G29" s="88"/>
      <c r="H29" s="88"/>
      <c r="I29" s="87"/>
      <c r="L29" s="62"/>
      <c r="V29" s="118" t="s">
        <v>444</v>
      </c>
      <c r="W29" s="85">
        <v>22.786603078667273</v>
      </c>
      <c r="X29" s="12" t="s">
        <v>190</v>
      </c>
      <c r="Y29" s="14">
        <v>9.9266100641000001</v>
      </c>
      <c r="Z29" s="1" t="s">
        <v>192</v>
      </c>
    </row>
    <row r="30" spans="2:26" x14ac:dyDescent="0.35">
      <c r="B30" s="1"/>
      <c r="C30" s="1"/>
      <c r="D30" s="5"/>
      <c r="E30" s="1"/>
      <c r="F30" s="1"/>
      <c r="G30" s="1"/>
      <c r="H30" s="1"/>
      <c r="I30" s="5"/>
      <c r="V30" s="118" t="s">
        <v>445</v>
      </c>
      <c r="W30" s="85">
        <v>40.37771050746602</v>
      </c>
      <c r="X30" s="12" t="s">
        <v>190</v>
      </c>
      <c r="Y30" s="14">
        <v>17.589887624100001</v>
      </c>
      <c r="Z30" s="1" t="s">
        <v>192</v>
      </c>
    </row>
    <row r="31" spans="2:26" x14ac:dyDescent="0.35">
      <c r="B31" s="1"/>
      <c r="C31" s="1"/>
      <c r="D31" s="5"/>
      <c r="E31" s="1"/>
      <c r="F31" s="1"/>
      <c r="G31" s="1"/>
      <c r="H31" s="1"/>
      <c r="I31" s="5"/>
      <c r="V31" s="118" t="s">
        <v>446</v>
      </c>
      <c r="W31" s="85">
        <v>91.361179362814298</v>
      </c>
      <c r="X31" s="12" t="s">
        <v>190</v>
      </c>
      <c r="Y31" s="14">
        <v>39.799999999999997</v>
      </c>
      <c r="Z31" s="1" t="s">
        <v>192</v>
      </c>
    </row>
    <row r="32" spans="2:26" x14ac:dyDescent="0.35">
      <c r="B32" s="2" t="s">
        <v>52</v>
      </c>
      <c r="C32" s="2" t="s">
        <v>34</v>
      </c>
      <c r="D32" s="7">
        <f>$D$28-$D$29</f>
        <v>41477.606598364109</v>
      </c>
      <c r="E32" s="1"/>
      <c r="F32" s="1"/>
      <c r="G32" s="1"/>
      <c r="H32" s="1"/>
      <c r="I32" s="5"/>
      <c r="V32" s="116" t="s">
        <v>447</v>
      </c>
      <c r="W32" s="85">
        <v>6.3116339683593496</v>
      </c>
      <c r="X32" s="12" t="s">
        <v>190</v>
      </c>
      <c r="Y32" s="14">
        <v>2.7136</v>
      </c>
      <c r="Z32" s="1" t="s">
        <v>192</v>
      </c>
    </row>
    <row r="33" spans="2:26" x14ac:dyDescent="0.35">
      <c r="B33" s="1"/>
      <c r="C33" s="2" t="s">
        <v>54</v>
      </c>
      <c r="D33" s="66">
        <f>D32/1000</f>
        <v>41.477606598364112</v>
      </c>
      <c r="E33" s="1"/>
      <c r="F33" s="1"/>
      <c r="G33" s="1"/>
      <c r="H33" s="1"/>
      <c r="I33" s="5"/>
      <c r="J33" s="62"/>
      <c r="K33" s="62"/>
      <c r="V33" s="116" t="s">
        <v>448</v>
      </c>
      <c r="W33" s="85">
        <v>11.312375799127555</v>
      </c>
      <c r="X33" s="12" t="s">
        <v>190</v>
      </c>
      <c r="Y33" s="14">
        <v>4.863599999999999</v>
      </c>
      <c r="Z33" s="1" t="s">
        <v>192</v>
      </c>
    </row>
    <row r="34" spans="2:26" x14ac:dyDescent="0.35">
      <c r="E34" s="1"/>
      <c r="F34" s="1"/>
      <c r="G34" s="1"/>
      <c r="H34" s="1"/>
      <c r="I34" s="5"/>
      <c r="V34" s="116" t="s">
        <v>449</v>
      </c>
      <c r="W34" s="85">
        <v>17.476080846353483</v>
      </c>
      <c r="X34" s="12" t="s">
        <v>190</v>
      </c>
      <c r="Y34" s="14">
        <v>7.5135999999999994</v>
      </c>
      <c r="Z34" s="1" t="s">
        <v>192</v>
      </c>
    </row>
    <row r="35" spans="2:26" x14ac:dyDescent="0.35">
      <c r="V35" s="116" t="s">
        <v>450</v>
      </c>
      <c r="W35" s="85">
        <v>24.802749110037134</v>
      </c>
      <c r="X35" s="12" t="s">
        <v>190</v>
      </c>
      <c r="Y35" s="14">
        <v>10.663600000000001</v>
      </c>
      <c r="Z35" s="1" t="s">
        <v>192</v>
      </c>
    </row>
    <row r="36" spans="2:26" x14ac:dyDescent="0.35">
      <c r="V36" s="116" t="s">
        <v>451</v>
      </c>
      <c r="W36" s="85">
        <v>33.292380590178503</v>
      </c>
      <c r="X36" s="12" t="s">
        <v>190</v>
      </c>
      <c r="Y36" s="14">
        <v>14.313599999999999</v>
      </c>
      <c r="Z36" s="1" t="s">
        <v>192</v>
      </c>
    </row>
    <row r="37" spans="2:26" x14ac:dyDescent="0.35">
      <c r="V37" s="116" t="s">
        <v>452</v>
      </c>
      <c r="W37" s="85">
        <v>53.760533199834413</v>
      </c>
      <c r="X37" s="12" t="s">
        <v>190</v>
      </c>
      <c r="Y37" s="14">
        <v>23.113599999999998</v>
      </c>
      <c r="Z37" s="1" t="s">
        <v>192</v>
      </c>
    </row>
    <row r="38" spans="2:26" x14ac:dyDescent="0.35">
      <c r="B38" s="125"/>
      <c r="C38" s="125"/>
      <c r="D38" s="125"/>
      <c r="E38" s="125"/>
      <c r="F38" s="125"/>
      <c r="G38" s="125"/>
      <c r="V38" s="116" t="s">
        <v>453</v>
      </c>
      <c r="W38" s="85">
        <v>161.97751678823153</v>
      </c>
      <c r="X38" s="12" t="s">
        <v>190</v>
      </c>
      <c r="Y38" s="14">
        <v>69.64</v>
      </c>
      <c r="Z38" s="1" t="s">
        <v>192</v>
      </c>
    </row>
    <row r="39" spans="2:26" x14ac:dyDescent="0.35">
      <c r="B39" s="125"/>
      <c r="C39" s="125"/>
      <c r="D39" s="125"/>
      <c r="E39" s="125"/>
      <c r="F39" s="125"/>
      <c r="G39" s="125"/>
      <c r="V39" s="116" t="s">
        <v>454</v>
      </c>
      <c r="W39" s="85">
        <v>3.6312640659007398</v>
      </c>
      <c r="X39" s="12" t="s">
        <v>190</v>
      </c>
      <c r="Y39" s="14">
        <v>30</v>
      </c>
      <c r="Z39" s="1" t="s">
        <v>192</v>
      </c>
    </row>
    <row r="40" spans="2:26" x14ac:dyDescent="0.35">
      <c r="B40" s="125"/>
      <c r="C40" s="125"/>
      <c r="D40" s="125"/>
      <c r="E40" s="125"/>
      <c r="F40" s="125"/>
      <c r="G40" s="125"/>
      <c r="V40" s="116" t="s">
        <v>455</v>
      </c>
      <c r="W40" s="85">
        <v>6.6573174541513565</v>
      </c>
      <c r="X40" s="12" t="s">
        <v>190</v>
      </c>
      <c r="Y40" s="14">
        <v>55</v>
      </c>
      <c r="Z40" s="1" t="s">
        <v>192</v>
      </c>
    </row>
    <row r="41" spans="2:26" x14ac:dyDescent="0.35">
      <c r="B41" s="125"/>
      <c r="C41" s="125"/>
      <c r="D41" s="125"/>
      <c r="E41" s="125"/>
      <c r="F41" s="125"/>
      <c r="G41" s="125"/>
      <c r="V41" s="116" t="s">
        <v>456</v>
      </c>
      <c r="W41" s="85">
        <v>10.89379219770222</v>
      </c>
      <c r="X41" s="12" t="s">
        <v>190</v>
      </c>
      <c r="Y41" s="14">
        <v>90</v>
      </c>
      <c r="Z41" s="1" t="s">
        <v>192</v>
      </c>
    </row>
    <row r="42" spans="2:26" x14ac:dyDescent="0.35">
      <c r="V42" s="116" t="s">
        <v>457</v>
      </c>
      <c r="W42" s="85">
        <v>15.735477618903206</v>
      </c>
      <c r="X42" s="12" t="s">
        <v>190</v>
      </c>
      <c r="Y42" s="14">
        <v>130</v>
      </c>
      <c r="Z42" s="1" t="s">
        <v>192</v>
      </c>
    </row>
    <row r="43" spans="2:26" x14ac:dyDescent="0.35">
      <c r="B43" s="61"/>
      <c r="V43" s="116" t="s">
        <v>458</v>
      </c>
      <c r="W43" s="85">
        <v>20.577163040104193</v>
      </c>
      <c r="X43" s="12" t="s">
        <v>190</v>
      </c>
      <c r="Y43" s="14">
        <v>170</v>
      </c>
      <c r="Z43" s="1" t="s">
        <v>192</v>
      </c>
    </row>
    <row r="44" spans="2:26" x14ac:dyDescent="0.35">
      <c r="V44" s="116" t="s">
        <v>459</v>
      </c>
      <c r="W44" s="85">
        <v>30.260533882506166</v>
      </c>
      <c r="X44" s="12" t="s">
        <v>190</v>
      </c>
      <c r="Y44" s="14">
        <v>250</v>
      </c>
      <c r="Z44" s="1" t="s">
        <v>192</v>
      </c>
    </row>
    <row r="45" spans="2:26" x14ac:dyDescent="0.35">
      <c r="V45" s="116" t="s">
        <v>460</v>
      </c>
      <c r="W45" s="85">
        <v>62.941910475612822</v>
      </c>
      <c r="X45" s="12" t="s">
        <v>190</v>
      </c>
      <c r="Y45" s="14">
        <v>520</v>
      </c>
      <c r="Z45" s="1" t="s">
        <v>192</v>
      </c>
    </row>
    <row r="46" spans="2:26" x14ac:dyDescent="0.35">
      <c r="V46" s="116" t="s">
        <v>461</v>
      </c>
      <c r="W46" s="85">
        <v>9.8360787005103791</v>
      </c>
      <c r="X46" s="12" t="s">
        <v>190</v>
      </c>
      <c r="Y46" s="14">
        <v>1.5564764</v>
      </c>
      <c r="Z46" s="1" t="s">
        <v>192</v>
      </c>
    </row>
    <row r="47" spans="2:26" x14ac:dyDescent="0.35">
      <c r="V47" s="116" t="s">
        <v>462</v>
      </c>
      <c r="W47" s="85">
        <v>19.0882311414017</v>
      </c>
      <c r="X47" s="12" t="s">
        <v>190</v>
      </c>
      <c r="Y47" s="14">
        <v>3.0205514</v>
      </c>
      <c r="Z47" s="1" t="s">
        <v>192</v>
      </c>
    </row>
    <row r="48" spans="2:26" x14ac:dyDescent="0.35">
      <c r="V48" s="116" t="s">
        <v>463</v>
      </c>
      <c r="W48" s="85">
        <v>31.667575331437892</v>
      </c>
      <c r="X48" s="12" t="s">
        <v>190</v>
      </c>
      <c r="Y48" s="14">
        <v>5.0111264000000002</v>
      </c>
      <c r="Z48" s="1" t="s">
        <v>192</v>
      </c>
    </row>
    <row r="49" spans="20:26" x14ac:dyDescent="0.35">
      <c r="V49" s="116" t="s">
        <v>464</v>
      </c>
      <c r="W49" s="85">
        <v>47.574111270618957</v>
      </c>
      <c r="X49" s="12" t="s">
        <v>190</v>
      </c>
      <c r="Y49" s="14">
        <v>7.5282013999999995</v>
      </c>
      <c r="Z49" s="1" t="s">
        <v>192</v>
      </c>
    </row>
    <row r="50" spans="20:26" x14ac:dyDescent="0.35">
      <c r="V50" s="116" t="s">
        <v>465</v>
      </c>
      <c r="W50" s="85">
        <v>66.807838958944899</v>
      </c>
      <c r="X50" s="12" t="s">
        <v>190</v>
      </c>
      <c r="Y50" s="14">
        <v>10.571776400000001</v>
      </c>
      <c r="Z50" s="1" t="s">
        <v>192</v>
      </c>
    </row>
    <row r="51" spans="20:26" x14ac:dyDescent="0.35">
      <c r="V51" s="116" t="s">
        <v>466</v>
      </c>
      <c r="W51" s="85">
        <v>115.25686958303136</v>
      </c>
      <c r="X51" s="12" t="s">
        <v>190</v>
      </c>
      <c r="Y51" s="14">
        <v>18.238426399999998</v>
      </c>
      <c r="Z51" s="1" t="s">
        <v>192</v>
      </c>
    </row>
    <row r="52" spans="20:26" x14ac:dyDescent="0.35">
      <c r="V52" s="116" t="s">
        <v>467</v>
      </c>
      <c r="W52" s="85">
        <v>253.28365680100001</v>
      </c>
      <c r="X52" s="12" t="s">
        <v>190</v>
      </c>
      <c r="Y52" s="14">
        <v>40.08</v>
      </c>
      <c r="Z52" s="1" t="s">
        <v>192</v>
      </c>
    </row>
    <row r="53" spans="20:26" x14ac:dyDescent="0.35">
      <c r="V53" s="116" t="s">
        <v>468</v>
      </c>
      <c r="W53" s="85">
        <v>28.859438868109098</v>
      </c>
      <c r="X53" s="12" t="s">
        <v>190</v>
      </c>
      <c r="Y53" s="14">
        <v>18.100000000000001</v>
      </c>
      <c r="Z53" s="1" t="s">
        <v>192</v>
      </c>
    </row>
    <row r="54" spans="20:26" x14ac:dyDescent="0.35">
      <c r="V54" s="116" t="s">
        <v>469</v>
      </c>
      <c r="W54" s="85">
        <v>42.2527696135299</v>
      </c>
      <c r="X54" s="12" t="s">
        <v>190</v>
      </c>
      <c r="Y54" s="14">
        <v>26.5</v>
      </c>
      <c r="Z54" s="1" t="s">
        <v>192</v>
      </c>
    </row>
    <row r="55" spans="20:26" x14ac:dyDescent="0.35">
      <c r="V55" s="116" t="s">
        <v>470</v>
      </c>
      <c r="W55" s="85">
        <v>58.994433045305897</v>
      </c>
      <c r="X55" s="12" t="s">
        <v>190</v>
      </c>
      <c r="Y55" s="14">
        <v>37</v>
      </c>
      <c r="Z55" s="1" t="s">
        <v>192</v>
      </c>
    </row>
    <row r="56" spans="20:26" x14ac:dyDescent="0.35">
      <c r="V56" s="116" t="s">
        <v>471</v>
      </c>
      <c r="W56" s="85">
        <v>77.330540613441514</v>
      </c>
      <c r="X56" s="12" t="s">
        <v>190</v>
      </c>
      <c r="Y56" s="14">
        <v>48.5</v>
      </c>
      <c r="Z56" s="1" t="s">
        <v>192</v>
      </c>
    </row>
    <row r="57" spans="20:26" x14ac:dyDescent="0.35">
      <c r="V57" s="116" t="s">
        <v>472</v>
      </c>
      <c r="W57" s="85">
        <v>98.05831438611655</v>
      </c>
      <c r="X57" s="12" t="s">
        <v>190</v>
      </c>
      <c r="Y57" s="14">
        <v>61.5</v>
      </c>
      <c r="Z57" s="1" t="s">
        <v>192</v>
      </c>
    </row>
    <row r="58" spans="20:26" x14ac:dyDescent="0.35">
      <c r="V58" s="116" t="s">
        <v>473</v>
      </c>
      <c r="W58" s="85">
        <v>150.67497088598395</v>
      </c>
      <c r="X58" s="12" t="s">
        <v>190</v>
      </c>
      <c r="Y58" s="14">
        <v>94.5</v>
      </c>
      <c r="Z58" s="1" t="s">
        <v>192</v>
      </c>
    </row>
    <row r="59" spans="20:26" x14ac:dyDescent="0.35">
      <c r="V59" s="116" t="s">
        <v>474</v>
      </c>
      <c r="W59" s="85">
        <v>286.99994454473136</v>
      </c>
      <c r="X59" s="12" t="s">
        <v>190</v>
      </c>
      <c r="Y59" s="14">
        <v>180</v>
      </c>
      <c r="Z59" s="1" t="s">
        <v>192</v>
      </c>
    </row>
    <row r="60" spans="20:26" x14ac:dyDescent="0.35">
      <c r="V60" s="116" t="s">
        <v>475</v>
      </c>
      <c r="W60" s="85">
        <v>82.08</v>
      </c>
      <c r="X60" s="12" t="s">
        <v>190</v>
      </c>
      <c r="Y60" s="14">
        <v>16</v>
      </c>
      <c r="Z60" s="1" t="s">
        <v>192</v>
      </c>
    </row>
    <row r="61" spans="20:26" x14ac:dyDescent="0.35">
      <c r="V61" s="116" t="s">
        <v>476</v>
      </c>
      <c r="W61" s="85">
        <v>144.666</v>
      </c>
      <c r="X61" s="12" t="s">
        <v>190</v>
      </c>
      <c r="Y61" s="14">
        <v>28.2</v>
      </c>
      <c r="Z61" s="1" t="s">
        <v>192</v>
      </c>
    </row>
    <row r="62" spans="20:26" x14ac:dyDescent="0.35">
      <c r="V62" s="116" t="s">
        <v>477</v>
      </c>
      <c r="W62" s="85">
        <v>218.02500000000001</v>
      </c>
      <c r="X62" s="12" t="s">
        <v>190</v>
      </c>
      <c r="Y62" s="14">
        <v>42.5</v>
      </c>
      <c r="Z62" s="1" t="s">
        <v>192</v>
      </c>
    </row>
    <row r="63" spans="20:26" x14ac:dyDescent="0.35">
      <c r="V63" s="116" t="s">
        <v>478</v>
      </c>
      <c r="W63" s="85">
        <v>308.82600000000002</v>
      </c>
      <c r="X63" s="12" t="s">
        <v>190</v>
      </c>
      <c r="Y63" s="14">
        <v>60.2</v>
      </c>
      <c r="Z63" s="1" t="s">
        <v>192</v>
      </c>
    </row>
    <row r="64" spans="20:26" x14ac:dyDescent="0.35">
      <c r="T64" s="112"/>
      <c r="U64" s="1"/>
      <c r="V64" s="116" t="s">
        <v>479</v>
      </c>
      <c r="W64" s="85">
        <v>389.36700000000002</v>
      </c>
      <c r="X64" s="12" t="s">
        <v>190</v>
      </c>
      <c r="Y64" s="14">
        <v>75.900000000000006</v>
      </c>
      <c r="Z64" s="1" t="s">
        <v>192</v>
      </c>
    </row>
    <row r="65" spans="17:26" x14ac:dyDescent="0.35">
      <c r="Q65" s="1"/>
      <c r="T65" s="112"/>
      <c r="U65" s="1"/>
      <c r="V65" s="116" t="s">
        <v>480</v>
      </c>
      <c r="W65" s="85">
        <v>633.55499999999995</v>
      </c>
      <c r="X65" s="12" t="s">
        <v>190</v>
      </c>
      <c r="Y65" s="14">
        <v>123.5</v>
      </c>
      <c r="Z65" s="1" t="s">
        <v>192</v>
      </c>
    </row>
    <row r="66" spans="17:26" x14ac:dyDescent="0.35">
      <c r="V66" s="116" t="s">
        <v>481</v>
      </c>
      <c r="W66" s="85">
        <v>1305.585</v>
      </c>
      <c r="X66" s="12" t="s">
        <v>190</v>
      </c>
      <c r="Y66" s="14">
        <v>254.5</v>
      </c>
      <c r="Z66" s="1" t="s">
        <v>192</v>
      </c>
    </row>
    <row r="67" spans="17:26" x14ac:dyDescent="0.35">
      <c r="S67" s="119"/>
    </row>
    <row r="68" spans="17:26" x14ac:dyDescent="0.35">
      <c r="S68" s="119"/>
      <c r="T68" s="85"/>
    </row>
    <row r="69" spans="17:26" x14ac:dyDescent="0.35">
      <c r="S69" s="119"/>
      <c r="T69" s="85"/>
    </row>
    <row r="70" spans="17:26" x14ac:dyDescent="0.35">
      <c r="S70" s="119"/>
    </row>
    <row r="71" spans="17:26" x14ac:dyDescent="0.35">
      <c r="S71" s="119"/>
    </row>
    <row r="72" spans="17:26" x14ac:dyDescent="0.35">
      <c r="S72" s="119"/>
    </row>
    <row r="73" spans="17:26" x14ac:dyDescent="0.35">
      <c r="S73" s="119"/>
    </row>
    <row r="74" spans="17:26" x14ac:dyDescent="0.35">
      <c r="S74" s="120"/>
      <c r="T74" s="86"/>
    </row>
    <row r="75" spans="17:26" x14ac:dyDescent="0.35">
      <c r="S75" s="120"/>
      <c r="T75" s="86"/>
    </row>
    <row r="76" spans="17:26" x14ac:dyDescent="0.35">
      <c r="S76" s="119"/>
    </row>
    <row r="77" spans="17:26" x14ac:dyDescent="0.35">
      <c r="S77" s="119"/>
      <c r="T77" s="22"/>
    </row>
    <row r="78" spans="17:26" x14ac:dyDescent="0.35">
      <c r="S78" s="119"/>
    </row>
    <row r="79" spans="17:26" x14ac:dyDescent="0.35">
      <c r="S79" s="119"/>
    </row>
    <row r="80" spans="17:26" x14ac:dyDescent="0.35">
      <c r="S80" s="119"/>
      <c r="T80" s="22"/>
    </row>
    <row r="81" spans="19:20" x14ac:dyDescent="0.35">
      <c r="S81" s="119"/>
      <c r="T81" s="22"/>
    </row>
    <row r="82" spans="19:20" x14ac:dyDescent="0.35">
      <c r="S82" s="119"/>
      <c r="T82" s="22"/>
    </row>
    <row r="83" spans="19:20" x14ac:dyDescent="0.35">
      <c r="S83" s="119"/>
    </row>
    <row r="84" spans="19:20" x14ac:dyDescent="0.35">
      <c r="S84" s="119"/>
    </row>
    <row r="85" spans="19:20" x14ac:dyDescent="0.35">
      <c r="S85" s="119"/>
    </row>
    <row r="86" spans="19:20" x14ac:dyDescent="0.35">
      <c r="S86" s="119"/>
    </row>
    <row r="87" spans="19:20" x14ac:dyDescent="0.35">
      <c r="S87" s="119"/>
      <c r="T87" s="22"/>
    </row>
    <row r="88" spans="19:20" x14ac:dyDescent="0.35">
      <c r="S88" s="119"/>
      <c r="T88" s="22"/>
    </row>
    <row r="89" spans="19:20" x14ac:dyDescent="0.35">
      <c r="S89" s="119"/>
    </row>
    <row r="90" spans="19:20" x14ac:dyDescent="0.35">
      <c r="S90" s="119"/>
    </row>
    <row r="91" spans="19:20" x14ac:dyDescent="0.35">
      <c r="S91" s="119"/>
    </row>
    <row r="92" spans="19:20" x14ac:dyDescent="0.35">
      <c r="S92" s="119"/>
    </row>
    <row r="93" spans="19:20" x14ac:dyDescent="0.35">
      <c r="S93" s="119"/>
      <c r="T93" s="22"/>
    </row>
    <row r="94" spans="19:20" x14ac:dyDescent="0.35">
      <c r="S94" s="119"/>
      <c r="T94" s="22"/>
    </row>
    <row r="95" spans="19:20" x14ac:dyDescent="0.35">
      <c r="S95" s="119"/>
    </row>
    <row r="96" spans="19:20" x14ac:dyDescent="0.35">
      <c r="S96" s="119"/>
    </row>
    <row r="97" spans="19:19" x14ac:dyDescent="0.35">
      <c r="S97" s="119"/>
    </row>
    <row r="98" spans="19:19" x14ac:dyDescent="0.35">
      <c r="S98" s="119"/>
    </row>
    <row r="99" spans="19:19" x14ac:dyDescent="0.35">
      <c r="S99" s="119"/>
    </row>
    <row r="100" spans="19:19" x14ac:dyDescent="0.35">
      <c r="S100" s="119"/>
    </row>
    <row r="101" spans="19:19" x14ac:dyDescent="0.35">
      <c r="S101" s="119"/>
    </row>
    <row r="102" spans="19:19" x14ac:dyDescent="0.35">
      <c r="S102" s="119"/>
    </row>
    <row r="103" spans="19:19" x14ac:dyDescent="0.35">
      <c r="S103" s="119"/>
    </row>
    <row r="104" spans="19:19" x14ac:dyDescent="0.35">
      <c r="S104" s="119"/>
    </row>
    <row r="105" spans="19:19" x14ac:dyDescent="0.35">
      <c r="S105" s="119"/>
    </row>
    <row r="106" spans="19:19" x14ac:dyDescent="0.35">
      <c r="S106" s="119"/>
    </row>
    <row r="107" spans="19:19" x14ac:dyDescent="0.35">
      <c r="S107" s="119"/>
    </row>
    <row r="108" spans="19:19" x14ac:dyDescent="0.35">
      <c r="S108" s="119"/>
    </row>
    <row r="109" spans="19:19" x14ac:dyDescent="0.35">
      <c r="S109" s="119"/>
    </row>
    <row r="110" spans="19:19" x14ac:dyDescent="0.35">
      <c r="S110" s="119"/>
    </row>
    <row r="111" spans="19:19" x14ac:dyDescent="0.35">
      <c r="S111" s="119"/>
    </row>
    <row r="112" spans="19:19" x14ac:dyDescent="0.35">
      <c r="S112" s="119"/>
    </row>
    <row r="113" spans="19:19" x14ac:dyDescent="0.35">
      <c r="S113" s="119"/>
    </row>
    <row r="114" spans="19:19" x14ac:dyDescent="0.35">
      <c r="S114" s="119"/>
    </row>
    <row r="115" spans="19:19" x14ac:dyDescent="0.35">
      <c r="S115" s="119"/>
    </row>
  </sheetData>
  <sheetProtection algorithmName="SHA-512" hashValue="XtYd+PvqhZO1cRFQrRL/n5Lum3yT1bDuA6PXMvK9WUDmW0uOvK/fzP4AxJS/OEMP3OnuRrR5ES3TXkpO+RdRbA==" saltValue="jy6f4bEybqgX3QZDvBitNQ==" spinCount="100000" sheet="1" objects="1" scenarios="1"/>
  <mergeCells count="2">
    <mergeCell ref="B2:D2"/>
    <mergeCell ref="G2:I2"/>
  </mergeCells>
  <phoneticPr fontId="15" type="noConversion"/>
  <conditionalFormatting sqref="D13">
    <cfRule type="containsText" dxfId="6" priority="4" operator="containsText" text="Dimensjon ikke valgt">
      <formula>NOT(ISERROR(SEARCH("Dimensjon ikke valgt",D13)))</formula>
    </cfRule>
  </conditionalFormatting>
  <conditionalFormatting sqref="D9">
    <cfRule type="containsText" dxfId="5" priority="3" operator="containsText" text="Materiale ikke valgt">
      <formula>NOT(ISERROR(SEARCH("Materiale ikke valgt",D9)))</formula>
    </cfRule>
  </conditionalFormatting>
  <conditionalFormatting sqref="I9">
    <cfRule type="containsText" dxfId="4" priority="2" operator="containsText" text="Materiale ikke valgt">
      <formula>NOT(ISERROR(SEARCH("Materiale ikke valgt",I9)))</formula>
    </cfRule>
  </conditionalFormatting>
  <conditionalFormatting sqref="I13">
    <cfRule type="containsText" dxfId="3" priority="1" operator="containsText" text="Dimensjon ikke valgt">
      <formula>NOT(ISERROR(SEARCH("Dimensjon ikke valgt",I13)))</formula>
    </cfRule>
  </conditionalFormatting>
  <dataValidations count="2">
    <dataValidation type="list" allowBlank="1" showInputMessage="1" showErrorMessage="1" sqref="I4 D4" xr:uid="{23AE5361-8957-4809-A747-2448241A2A62}">
      <formula1>$Q$18:$Q$25</formula1>
    </dataValidation>
    <dataValidation type="list" allowBlank="1" showInputMessage="1" showErrorMessage="1" sqref="I6 D6" xr:uid="{BF02B695-83A9-498D-ABC1-78A9578CD9F3}">
      <formula1>$R$18:$R$25</formula1>
    </dataValidation>
  </dataValidations>
  <hyperlinks>
    <hyperlink ref="T5" r:id="rId1" xr:uid="{C1CCA563-8040-4D07-B2C0-6F5E9A4CEEEB}"/>
    <hyperlink ref="T7" r:id="rId2" xr:uid="{D7ED76CE-E2F4-477E-B88A-85E72BC83EA4}"/>
    <hyperlink ref="T8" r:id="rId3" xr:uid="{C17C23D7-9476-4673-9756-4DBEF05650A1}"/>
    <hyperlink ref="T9" r:id="rId4" xr:uid="{5381635B-C1BB-4422-9E36-473E603541CC}"/>
    <hyperlink ref="T10" r:id="rId5" xr:uid="{5E87EDAA-7C1A-424C-8DC8-9A2BF71ED5DB}"/>
    <hyperlink ref="T12" r:id="rId6" display="https://www.epd-norge.no/getfile.php/138533-1601884728/EPDer/Byggevarer/NEPD-1507-513_Pragma-spillvanns---overvanns--og-drensr--r-i-PP.pdf" xr:uid="{DDACB30E-AA69-4546-80E4-E2660EDEAA16}"/>
    <hyperlink ref="T11" r:id="rId7" display="https://www.epd-norge.no/getfile.php/138537-1601888620/EPDer/Byggevarer/NEPD-1505-513_Glatte-grunnavl--ps--og-overvannsr--r-i-PP--------.pdf" xr:uid="{B8C91EC0-661B-448A-A31D-86F89E5AD8B6}"/>
  </hyperlinks>
  <pageMargins left="0.7" right="0.7" top="0.75" bottom="0.75" header="0.3" footer="0.3"/>
  <pageSetup paperSize="9" orientation="portrait" r:id="rId8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9E1F9-67A0-4A18-865C-20A051777977}">
  <sheetPr>
    <tabColor theme="9" tint="0.79998168889431442"/>
  </sheetPr>
  <dimension ref="B1:T69"/>
  <sheetViews>
    <sheetView zoomScaleNormal="100" workbookViewId="0">
      <selection activeCell="D4" sqref="D4"/>
    </sheetView>
  </sheetViews>
  <sheetFormatPr defaultColWidth="9.1796875" defaultRowHeight="14.5" x14ac:dyDescent="0.35"/>
  <cols>
    <col min="1" max="1" width="9.1796875" style="1"/>
    <col min="2" max="2" width="35.1796875" style="1" bestFit="1" customWidth="1"/>
    <col min="3" max="3" width="17.7265625" style="1" bestFit="1" customWidth="1"/>
    <col min="4" max="4" width="55.7265625" style="1" customWidth="1"/>
    <col min="5" max="5" width="9.1796875" style="1"/>
    <col min="6" max="6" width="27.7265625" style="1" bestFit="1" customWidth="1"/>
    <col min="7" max="7" width="25.81640625" style="1" customWidth="1"/>
    <col min="8" max="8" width="39.54296875" style="1" customWidth="1"/>
    <col min="9" max="9" width="15.7265625" style="1" customWidth="1"/>
    <col min="10" max="11" width="9.1796875" style="1"/>
    <col min="12" max="12" width="27.453125" style="1" customWidth="1"/>
    <col min="13" max="13" width="64.1796875" style="1" bestFit="1" customWidth="1"/>
    <col min="14" max="15" width="20.81640625" style="1" bestFit="1" customWidth="1"/>
    <col min="16" max="16" width="9.1796875" style="1"/>
    <col min="17" max="17" width="202" style="1" bestFit="1" customWidth="1"/>
    <col min="18" max="18" width="22" style="1" customWidth="1"/>
    <col min="19" max="19" width="48.54296875" style="1" customWidth="1"/>
    <col min="20" max="20" width="9.1796875" style="1" customWidth="1"/>
    <col min="21" max="21" width="15" style="1" customWidth="1"/>
    <col min="22" max="22" width="23.26953125" style="1" customWidth="1"/>
    <col min="23" max="16384" width="9.1796875" style="1"/>
  </cols>
  <sheetData>
    <row r="1" spans="2:19" x14ac:dyDescent="0.35">
      <c r="L1" s="2"/>
    </row>
    <row r="2" spans="2:19" x14ac:dyDescent="0.35">
      <c r="B2" s="107" t="s">
        <v>426</v>
      </c>
      <c r="C2" s="107"/>
      <c r="D2" s="107"/>
      <c r="F2" s="107" t="s">
        <v>427</v>
      </c>
      <c r="G2" s="107"/>
      <c r="H2" s="107"/>
      <c r="M2" s="2" t="s">
        <v>414</v>
      </c>
      <c r="N2" s="2" t="s">
        <v>188</v>
      </c>
      <c r="O2" s="2" t="s">
        <v>540</v>
      </c>
      <c r="P2" s="2" t="s">
        <v>415</v>
      </c>
      <c r="Q2" s="2" t="s">
        <v>416</v>
      </c>
      <c r="R2" s="2" t="s">
        <v>417</v>
      </c>
      <c r="S2" s="2" t="s">
        <v>418</v>
      </c>
    </row>
    <row r="3" spans="2:19" x14ac:dyDescent="0.35">
      <c r="M3" s="114" t="s">
        <v>430</v>
      </c>
    </row>
    <row r="4" spans="2:19" x14ac:dyDescent="0.35">
      <c r="B4" s="1" t="s">
        <v>428</v>
      </c>
      <c r="D4" s="152" t="s">
        <v>430</v>
      </c>
      <c r="F4" s="1" t="s">
        <v>428</v>
      </c>
      <c r="H4" s="152" t="s">
        <v>430</v>
      </c>
      <c r="M4" s="1" t="s">
        <v>359</v>
      </c>
      <c r="N4" s="13">
        <v>330</v>
      </c>
      <c r="O4" s="1" t="s">
        <v>198</v>
      </c>
      <c r="P4" s="1" t="s">
        <v>398</v>
      </c>
      <c r="R4" s="1" t="s">
        <v>399</v>
      </c>
      <c r="S4" s="1" t="s">
        <v>360</v>
      </c>
    </row>
    <row r="5" spans="2:19" x14ac:dyDescent="0.35">
      <c r="B5" s="1" t="s">
        <v>429</v>
      </c>
      <c r="C5" s="1" t="s">
        <v>148</v>
      </c>
      <c r="D5" s="153"/>
      <c r="F5" s="1" t="s">
        <v>429</v>
      </c>
      <c r="G5" s="1" t="s">
        <v>148</v>
      </c>
      <c r="H5" s="153"/>
      <c r="M5" s="1" t="s">
        <v>361</v>
      </c>
      <c r="N5" s="13">
        <v>280</v>
      </c>
      <c r="O5" s="1" t="s">
        <v>198</v>
      </c>
      <c r="P5" s="1" t="s">
        <v>398</v>
      </c>
      <c r="R5" s="1" t="s">
        <v>399</v>
      </c>
      <c r="S5" s="1" t="s">
        <v>360</v>
      </c>
    </row>
    <row r="6" spans="2:19" x14ac:dyDescent="0.35">
      <c r="M6" s="1" t="s">
        <v>362</v>
      </c>
      <c r="N6" s="13">
        <v>347.32</v>
      </c>
      <c r="O6" s="1" t="s">
        <v>198</v>
      </c>
      <c r="P6" s="1" t="s">
        <v>398</v>
      </c>
      <c r="R6" s="1" t="s">
        <v>399</v>
      </c>
      <c r="S6" s="1" t="s">
        <v>360</v>
      </c>
    </row>
    <row r="7" spans="2:19" x14ac:dyDescent="0.35">
      <c r="B7" s="1" t="s">
        <v>188</v>
      </c>
      <c r="C7" s="1" t="s">
        <v>198</v>
      </c>
      <c r="D7" s="6" t="str">
        <f>IF(D4="Velg type","Ingen betongtype valgt",VLOOKUP(D4,M4:N41,2,FALSE))</f>
        <v>Ingen betongtype valgt</v>
      </c>
      <c r="F7" s="1" t="s">
        <v>188</v>
      </c>
      <c r="G7" s="1" t="s">
        <v>491</v>
      </c>
      <c r="H7" s="6" t="str">
        <f>IF(H4="Velg type","Ingen betongtype valgt",VLOOKUP(H4,M4:N41,2,FALSE))</f>
        <v>Ingen betongtype valgt</v>
      </c>
      <c r="M7" s="1" t="s">
        <v>363</v>
      </c>
      <c r="N7" s="13">
        <v>297.32</v>
      </c>
      <c r="O7" s="1" t="s">
        <v>198</v>
      </c>
      <c r="P7" s="1" t="s">
        <v>398</v>
      </c>
      <c r="R7" s="1" t="s">
        <v>399</v>
      </c>
      <c r="S7" s="1" t="s">
        <v>360</v>
      </c>
    </row>
    <row r="8" spans="2:19" x14ac:dyDescent="0.35">
      <c r="M8" s="1" t="s">
        <v>322</v>
      </c>
      <c r="N8" s="13">
        <v>280</v>
      </c>
      <c r="O8" s="1" t="s">
        <v>198</v>
      </c>
      <c r="P8" s="1" t="s">
        <v>398</v>
      </c>
      <c r="R8" s="1" t="s">
        <v>399</v>
      </c>
      <c r="S8" s="1" t="s">
        <v>360</v>
      </c>
    </row>
    <row r="9" spans="2:19" x14ac:dyDescent="0.35">
      <c r="M9" s="1" t="s">
        <v>325</v>
      </c>
      <c r="N9" s="13">
        <v>230</v>
      </c>
      <c r="O9" s="1" t="s">
        <v>198</v>
      </c>
      <c r="P9" s="1" t="s">
        <v>398</v>
      </c>
      <c r="R9" s="1" t="s">
        <v>399</v>
      </c>
      <c r="S9" s="1" t="s">
        <v>360</v>
      </c>
    </row>
    <row r="10" spans="2:19" x14ac:dyDescent="0.35">
      <c r="B10" s="1" t="s">
        <v>191</v>
      </c>
      <c r="C10" s="1" t="s">
        <v>21</v>
      </c>
      <c r="D10" s="153"/>
      <c r="F10" s="1" t="s">
        <v>191</v>
      </c>
      <c r="G10" s="1" t="s">
        <v>21</v>
      </c>
      <c r="H10" s="153"/>
      <c r="M10" s="1" t="s">
        <v>327</v>
      </c>
      <c r="N10" s="13">
        <v>200</v>
      </c>
      <c r="O10" s="1" t="s">
        <v>198</v>
      </c>
      <c r="P10" s="1" t="s">
        <v>398</v>
      </c>
      <c r="R10" s="1" t="s">
        <v>399</v>
      </c>
      <c r="S10" s="1" t="s">
        <v>360</v>
      </c>
    </row>
    <row r="11" spans="2:19" x14ac:dyDescent="0.35">
      <c r="M11" s="1" t="s">
        <v>329</v>
      </c>
      <c r="N11" s="13">
        <v>330</v>
      </c>
      <c r="O11" s="1" t="s">
        <v>198</v>
      </c>
      <c r="P11" s="1" t="s">
        <v>398</v>
      </c>
      <c r="R11" s="1" t="s">
        <v>399</v>
      </c>
      <c r="S11" s="1" t="s">
        <v>360</v>
      </c>
    </row>
    <row r="12" spans="2:19" x14ac:dyDescent="0.35">
      <c r="M12" s="1" t="s">
        <v>331</v>
      </c>
      <c r="N12" s="13">
        <v>280</v>
      </c>
      <c r="O12" s="1" t="s">
        <v>198</v>
      </c>
      <c r="P12" s="1" t="s">
        <v>398</v>
      </c>
      <c r="R12" s="1" t="s">
        <v>399</v>
      </c>
      <c r="S12" s="1" t="s">
        <v>360</v>
      </c>
    </row>
    <row r="13" spans="2:19" x14ac:dyDescent="0.35">
      <c r="B13" s="1" t="s">
        <v>23</v>
      </c>
      <c r="C13" s="1" t="s">
        <v>24</v>
      </c>
      <c r="D13" s="8">
        <v>0.16</v>
      </c>
      <c r="F13" s="1" t="s">
        <v>23</v>
      </c>
      <c r="G13" s="1" t="s">
        <v>24</v>
      </c>
      <c r="H13" s="8">
        <v>0.16</v>
      </c>
      <c r="M13" s="1" t="s">
        <v>333</v>
      </c>
      <c r="N13" s="13">
        <v>210</v>
      </c>
      <c r="O13" s="1" t="s">
        <v>198</v>
      </c>
      <c r="P13" s="1" t="s">
        <v>398</v>
      </c>
      <c r="R13" s="1" t="s">
        <v>399</v>
      </c>
      <c r="S13" s="1" t="s">
        <v>360</v>
      </c>
    </row>
    <row r="14" spans="2:19" x14ac:dyDescent="0.35">
      <c r="B14" s="1" t="s">
        <v>431</v>
      </c>
      <c r="C14" s="1" t="s">
        <v>26</v>
      </c>
      <c r="D14" s="6">
        <v>2350</v>
      </c>
      <c r="F14" s="1" t="s">
        <v>431</v>
      </c>
      <c r="G14" s="1" t="s">
        <v>26</v>
      </c>
      <c r="H14" s="6">
        <v>2350</v>
      </c>
      <c r="M14" s="1" t="s">
        <v>334</v>
      </c>
      <c r="N14" s="13">
        <v>360</v>
      </c>
      <c r="O14" s="1" t="s">
        <v>198</v>
      </c>
      <c r="P14" s="1" t="s">
        <v>398</v>
      </c>
      <c r="R14" s="1" t="s">
        <v>399</v>
      </c>
      <c r="S14" s="1" t="s">
        <v>360</v>
      </c>
    </row>
    <row r="15" spans="2:19" x14ac:dyDescent="0.35">
      <c r="M15" s="1" t="s">
        <v>335</v>
      </c>
      <c r="N15" s="13">
        <v>290</v>
      </c>
      <c r="O15" s="1" t="s">
        <v>198</v>
      </c>
      <c r="P15" s="1" t="s">
        <v>398</v>
      </c>
      <c r="R15" s="1" t="s">
        <v>399</v>
      </c>
      <c r="S15" s="1" t="s">
        <v>360</v>
      </c>
    </row>
    <row r="16" spans="2:19" x14ac:dyDescent="0.35">
      <c r="B16" s="1" t="s">
        <v>176</v>
      </c>
      <c r="C16" s="1" t="s">
        <v>34</v>
      </c>
      <c r="D16" s="9" t="str">
        <f>IF(D4="Velg type","Fyll ut alle grønne celler",D5*D7)</f>
        <v>Fyll ut alle grønne celler</v>
      </c>
      <c r="F16" s="1" t="s">
        <v>176</v>
      </c>
      <c r="G16" s="1" t="s">
        <v>34</v>
      </c>
      <c r="H16" s="9" t="e">
        <f>H5*H7</f>
        <v>#VALUE!</v>
      </c>
      <c r="M16" s="1" t="s">
        <v>336</v>
      </c>
      <c r="N16" s="13">
        <v>220</v>
      </c>
      <c r="O16" s="1" t="s">
        <v>198</v>
      </c>
      <c r="P16" s="1" t="s">
        <v>398</v>
      </c>
      <c r="R16" s="1" t="s">
        <v>399</v>
      </c>
      <c r="S16" s="1" t="s">
        <v>360</v>
      </c>
    </row>
    <row r="17" spans="2:20" x14ac:dyDescent="0.35">
      <c r="B17" s="1" t="s">
        <v>178</v>
      </c>
      <c r="C17" s="1" t="s">
        <v>34</v>
      </c>
      <c r="D17" s="9">
        <f>D5*D14*10^-3*D10*D13</f>
        <v>0</v>
      </c>
      <c r="F17" s="1" t="s">
        <v>178</v>
      </c>
      <c r="G17" s="1" t="s">
        <v>34</v>
      </c>
      <c r="H17" s="9">
        <f>H5*H14*10^-3*H10*H13</f>
        <v>0</v>
      </c>
      <c r="M17" s="1" t="s">
        <v>337</v>
      </c>
      <c r="N17" s="13">
        <v>370</v>
      </c>
      <c r="O17" s="1" t="s">
        <v>198</v>
      </c>
      <c r="P17" s="1" t="s">
        <v>398</v>
      </c>
      <c r="R17" s="1" t="s">
        <v>399</v>
      </c>
      <c r="S17" s="1" t="s">
        <v>360</v>
      </c>
    </row>
    <row r="18" spans="2:20" x14ac:dyDescent="0.35">
      <c r="M18" s="1" t="s">
        <v>338</v>
      </c>
      <c r="N18" s="13">
        <v>300</v>
      </c>
      <c r="O18" s="1" t="s">
        <v>198</v>
      </c>
      <c r="P18" s="1" t="s">
        <v>398</v>
      </c>
      <c r="R18" s="1" t="s">
        <v>399</v>
      </c>
      <c r="S18" s="1" t="s">
        <v>360</v>
      </c>
    </row>
    <row r="19" spans="2:20" x14ac:dyDescent="0.35">
      <c r="M19" s="1" t="s">
        <v>339</v>
      </c>
      <c r="N19" s="13">
        <v>230</v>
      </c>
      <c r="O19" s="1" t="s">
        <v>198</v>
      </c>
      <c r="P19" s="1" t="s">
        <v>398</v>
      </c>
      <c r="R19" s="1" t="s">
        <v>399</v>
      </c>
      <c r="S19" s="1" t="s">
        <v>360</v>
      </c>
    </row>
    <row r="20" spans="2:20" x14ac:dyDescent="0.35">
      <c r="B20" s="1" t="s">
        <v>33</v>
      </c>
      <c r="C20" s="1" t="s">
        <v>34</v>
      </c>
      <c r="D20" s="10" t="e">
        <f>D16+D17</f>
        <v>#VALUE!</v>
      </c>
      <c r="F20" s="1" t="s">
        <v>33</v>
      </c>
      <c r="G20" s="1" t="s">
        <v>34</v>
      </c>
      <c r="H20" s="10" t="e">
        <f>H16+H17</f>
        <v>#VALUE!</v>
      </c>
      <c r="M20" s="1" t="s">
        <v>400</v>
      </c>
      <c r="N20" s="13">
        <v>210</v>
      </c>
      <c r="O20" s="1" t="s">
        <v>198</v>
      </c>
      <c r="P20" s="1" t="s">
        <v>398</v>
      </c>
      <c r="R20" s="1" t="s">
        <v>399</v>
      </c>
      <c r="S20" s="1" t="s">
        <v>401</v>
      </c>
    </row>
    <row r="21" spans="2:20" x14ac:dyDescent="0.35">
      <c r="C21" s="1" t="s">
        <v>54</v>
      </c>
      <c r="D21" s="60" t="e">
        <f>D20/1000</f>
        <v>#VALUE!</v>
      </c>
      <c r="G21" s="1" t="s">
        <v>54</v>
      </c>
      <c r="H21" s="60" t="e">
        <f>H20/1000</f>
        <v>#VALUE!</v>
      </c>
      <c r="M21" s="1" t="s">
        <v>402</v>
      </c>
      <c r="N21" s="13">
        <v>280</v>
      </c>
      <c r="O21" s="1" t="s">
        <v>198</v>
      </c>
      <c r="P21" s="1" t="s">
        <v>398</v>
      </c>
      <c r="R21" s="1" t="s">
        <v>399</v>
      </c>
      <c r="S21" s="1" t="s">
        <v>401</v>
      </c>
    </row>
    <row r="22" spans="2:20" x14ac:dyDescent="0.35">
      <c r="M22" s="1" t="s">
        <v>403</v>
      </c>
      <c r="N22" s="13">
        <v>150</v>
      </c>
      <c r="O22" s="1" t="s">
        <v>198</v>
      </c>
      <c r="P22" s="1" t="s">
        <v>398</v>
      </c>
      <c r="R22" s="1" t="s">
        <v>399</v>
      </c>
    </row>
    <row r="23" spans="2:20" x14ac:dyDescent="0.35">
      <c r="B23" s="107" t="s">
        <v>184</v>
      </c>
      <c r="C23" s="107"/>
      <c r="D23" s="107"/>
      <c r="E23" s="107"/>
      <c r="F23" s="107"/>
      <c r="G23" s="107"/>
      <c r="H23" s="107"/>
      <c r="I23" s="107"/>
      <c r="M23" s="1" t="s">
        <v>404</v>
      </c>
      <c r="N23" s="13">
        <v>160</v>
      </c>
      <c r="O23" s="1" t="s">
        <v>198</v>
      </c>
      <c r="P23" s="1" t="s">
        <v>398</v>
      </c>
      <c r="R23" s="1" t="s">
        <v>399</v>
      </c>
    </row>
    <row r="24" spans="2:20" x14ac:dyDescent="0.35">
      <c r="M24" s="1" t="s">
        <v>405</v>
      </c>
      <c r="N24" s="13">
        <v>170</v>
      </c>
      <c r="O24" s="1" t="s">
        <v>198</v>
      </c>
      <c r="P24" s="1" t="s">
        <v>398</v>
      </c>
      <c r="R24" s="1" t="s">
        <v>399</v>
      </c>
    </row>
    <row r="25" spans="2:20" x14ac:dyDescent="0.35">
      <c r="B25" s="1" t="str">
        <f>B2</f>
        <v>BETONGTYPE 1</v>
      </c>
      <c r="C25" s="1" t="s">
        <v>34</v>
      </c>
      <c r="D25" s="6" t="e">
        <f>D20</f>
        <v>#VALUE!</v>
      </c>
      <c r="M25" s="1" t="s">
        <v>406</v>
      </c>
      <c r="N25" s="13">
        <v>180</v>
      </c>
      <c r="O25" s="1" t="s">
        <v>198</v>
      </c>
      <c r="P25" s="1" t="s">
        <v>398</v>
      </c>
      <c r="R25" s="1" t="s">
        <v>399</v>
      </c>
    </row>
    <row r="26" spans="2:20" x14ac:dyDescent="0.35">
      <c r="B26" s="1" t="str">
        <f>F2</f>
        <v>BETONGTYPE 2</v>
      </c>
      <c r="C26" s="1" t="s">
        <v>34</v>
      </c>
      <c r="D26" s="6" t="e">
        <f>H20</f>
        <v>#VALUE!</v>
      </c>
      <c r="M26" s="1" t="s">
        <v>407</v>
      </c>
      <c r="N26" s="13">
        <v>190</v>
      </c>
      <c r="O26" s="1" t="s">
        <v>198</v>
      </c>
      <c r="P26" s="1" t="s">
        <v>398</v>
      </c>
      <c r="R26" s="1" t="s">
        <v>399</v>
      </c>
    </row>
    <row r="27" spans="2:20" x14ac:dyDescent="0.35">
      <c r="M27" s="1" t="s">
        <v>408</v>
      </c>
      <c r="N27" s="13">
        <v>110</v>
      </c>
      <c r="O27" s="1" t="s">
        <v>198</v>
      </c>
      <c r="P27" s="1" t="s">
        <v>398</v>
      </c>
      <c r="R27" s="1" t="s">
        <v>399</v>
      </c>
    </row>
    <row r="28" spans="2:20" x14ac:dyDescent="0.35">
      <c r="M28" s="1" t="s">
        <v>409</v>
      </c>
      <c r="N28" s="13">
        <v>120</v>
      </c>
      <c r="O28" s="1" t="s">
        <v>198</v>
      </c>
      <c r="P28" s="1" t="s">
        <v>398</v>
      </c>
      <c r="R28" s="1" t="s">
        <v>399</v>
      </c>
    </row>
    <row r="29" spans="2:20" x14ac:dyDescent="0.35">
      <c r="B29" s="1" t="s">
        <v>52</v>
      </c>
      <c r="C29" s="1" t="s">
        <v>34</v>
      </c>
      <c r="D29" s="7" t="e">
        <f>$D$25-$D$26</f>
        <v>#VALUE!</v>
      </c>
      <c r="M29" s="1" t="s">
        <v>410</v>
      </c>
      <c r="N29" s="13">
        <v>130</v>
      </c>
      <c r="O29" s="1" t="s">
        <v>198</v>
      </c>
      <c r="P29" s="1" t="s">
        <v>398</v>
      </c>
      <c r="R29" s="1" t="s">
        <v>399</v>
      </c>
    </row>
    <row r="30" spans="2:20" x14ac:dyDescent="0.35">
      <c r="C30" s="1" t="s">
        <v>54</v>
      </c>
      <c r="D30" s="129" t="e">
        <f>D29/1000</f>
        <v>#VALUE!</v>
      </c>
      <c r="M30" s="1" t="s">
        <v>411</v>
      </c>
      <c r="N30" s="13">
        <v>140</v>
      </c>
      <c r="O30" s="1" t="s">
        <v>198</v>
      </c>
      <c r="P30" s="1" t="s">
        <v>398</v>
      </c>
      <c r="R30" s="1" t="s">
        <v>399</v>
      </c>
    </row>
    <row r="31" spans="2:20" x14ac:dyDescent="0.35">
      <c r="M31" s="1" t="s">
        <v>412</v>
      </c>
      <c r="N31" s="13">
        <v>150</v>
      </c>
      <c r="O31" s="1" t="s">
        <v>198</v>
      </c>
      <c r="P31" s="1" t="s">
        <v>398</v>
      </c>
      <c r="R31" s="1" t="s">
        <v>399</v>
      </c>
    </row>
    <row r="32" spans="2:20" x14ac:dyDescent="0.35">
      <c r="M32" s="1" t="s">
        <v>527</v>
      </c>
      <c r="N32" s="13">
        <v>417</v>
      </c>
      <c r="O32" s="1" t="s">
        <v>198</v>
      </c>
      <c r="P32" s="1" t="s">
        <v>398</v>
      </c>
      <c r="Q32" s="1" t="s">
        <v>517</v>
      </c>
      <c r="R32" s="1" t="s">
        <v>493</v>
      </c>
      <c r="S32" s="1" t="s">
        <v>492</v>
      </c>
      <c r="T32" s="1" t="s">
        <v>495</v>
      </c>
    </row>
    <row r="33" spans="2:20" x14ac:dyDescent="0.35">
      <c r="M33" s="1" t="s">
        <v>531</v>
      </c>
      <c r="N33" s="13">
        <v>402</v>
      </c>
      <c r="O33" s="1" t="s">
        <v>198</v>
      </c>
      <c r="P33" s="1" t="s">
        <v>398</v>
      </c>
      <c r="Q33" s="1" t="s">
        <v>518</v>
      </c>
      <c r="R33" s="1" t="s">
        <v>493</v>
      </c>
      <c r="S33" s="1" t="s">
        <v>494</v>
      </c>
      <c r="T33" s="1" t="s">
        <v>495</v>
      </c>
    </row>
    <row r="34" spans="2:20" x14ac:dyDescent="0.35">
      <c r="M34" s="1" t="s">
        <v>528</v>
      </c>
      <c r="N34" s="13">
        <v>148.80000000000001</v>
      </c>
      <c r="O34" s="1" t="s">
        <v>198</v>
      </c>
      <c r="P34" s="1" t="s">
        <v>398</v>
      </c>
      <c r="Q34" s="1" t="s">
        <v>519</v>
      </c>
      <c r="R34" s="1" t="s">
        <v>493</v>
      </c>
      <c r="S34" s="1" t="s">
        <v>499</v>
      </c>
      <c r="T34" s="1" t="s">
        <v>495</v>
      </c>
    </row>
    <row r="35" spans="2:20" x14ac:dyDescent="0.35">
      <c r="M35" s="1" t="s">
        <v>529</v>
      </c>
      <c r="N35" s="13">
        <v>215.5</v>
      </c>
      <c r="O35" s="1" t="s">
        <v>198</v>
      </c>
      <c r="P35" s="1" t="s">
        <v>398</v>
      </c>
      <c r="Q35" s="1" t="s">
        <v>520</v>
      </c>
      <c r="R35" s="1" t="s">
        <v>493</v>
      </c>
      <c r="S35" s="1" t="s">
        <v>500</v>
      </c>
      <c r="T35" s="1" t="s">
        <v>495</v>
      </c>
    </row>
    <row r="36" spans="2:20" x14ac:dyDescent="0.35">
      <c r="B36" s="132"/>
      <c r="M36" s="1" t="s">
        <v>530</v>
      </c>
      <c r="N36" s="13">
        <v>318.5</v>
      </c>
      <c r="O36" s="1" t="s">
        <v>198</v>
      </c>
      <c r="P36" s="1" t="s">
        <v>398</v>
      </c>
      <c r="Q36" s="1" t="s">
        <v>521</v>
      </c>
      <c r="R36" s="1" t="s">
        <v>493</v>
      </c>
      <c r="S36" s="1" t="s">
        <v>501</v>
      </c>
      <c r="T36" s="1" t="s">
        <v>495</v>
      </c>
    </row>
    <row r="37" spans="2:20" x14ac:dyDescent="0.35">
      <c r="B37" s="19" t="s">
        <v>538</v>
      </c>
      <c r="M37" s="1" t="s">
        <v>532</v>
      </c>
      <c r="N37" s="13">
        <f>194+3.87+32.4</f>
        <v>230.27</v>
      </c>
      <c r="O37" s="1" t="s">
        <v>198</v>
      </c>
      <c r="P37" s="1" t="s">
        <v>398</v>
      </c>
      <c r="Q37" s="1" t="s">
        <v>503</v>
      </c>
      <c r="R37" s="1" t="s">
        <v>493</v>
      </c>
      <c r="S37" s="1" t="s">
        <v>502</v>
      </c>
      <c r="T37" s="1" t="s">
        <v>504</v>
      </c>
    </row>
    <row r="38" spans="2:20" x14ac:dyDescent="0.35">
      <c r="M38" s="1" t="s">
        <v>533</v>
      </c>
      <c r="N38" s="13">
        <f>400+5.39+3.44</f>
        <v>408.83</v>
      </c>
      <c r="O38" s="1" t="s">
        <v>198</v>
      </c>
      <c r="P38" s="1" t="s">
        <v>398</v>
      </c>
      <c r="R38" s="1" t="s">
        <v>493</v>
      </c>
      <c r="S38" s="1" t="s">
        <v>505</v>
      </c>
    </row>
    <row r="39" spans="2:20" x14ac:dyDescent="0.35">
      <c r="M39" s="1" t="s">
        <v>535</v>
      </c>
      <c r="N39" s="13">
        <v>271</v>
      </c>
      <c r="O39" s="1" t="s">
        <v>198</v>
      </c>
      <c r="P39" s="1" t="s">
        <v>398</v>
      </c>
      <c r="Q39" s="1" t="s">
        <v>522</v>
      </c>
      <c r="R39" s="1" t="s">
        <v>493</v>
      </c>
      <c r="S39" s="1" t="s">
        <v>506</v>
      </c>
      <c r="T39" s="1" t="s">
        <v>495</v>
      </c>
    </row>
    <row r="40" spans="2:20" x14ac:dyDescent="0.35">
      <c r="M40" s="1" t="s">
        <v>534</v>
      </c>
      <c r="N40" s="13">
        <v>321</v>
      </c>
      <c r="O40" s="1" t="s">
        <v>198</v>
      </c>
      <c r="P40" s="1" t="s">
        <v>398</v>
      </c>
      <c r="Q40" s="1" t="s">
        <v>507</v>
      </c>
      <c r="R40" s="1" t="s">
        <v>493</v>
      </c>
      <c r="S40" s="1" t="s">
        <v>509</v>
      </c>
    </row>
    <row r="41" spans="2:20" x14ac:dyDescent="0.35">
      <c r="M41" s="1" t="s">
        <v>536</v>
      </c>
      <c r="N41" s="13">
        <v>331</v>
      </c>
      <c r="O41" s="1" t="s">
        <v>198</v>
      </c>
      <c r="P41" s="1" t="s">
        <v>398</v>
      </c>
      <c r="Q41" s="1" t="s">
        <v>523</v>
      </c>
      <c r="R41" s="1" t="s">
        <v>493</v>
      </c>
      <c r="S41" s="1" t="s">
        <v>511</v>
      </c>
      <c r="T41" s="1" t="s">
        <v>495</v>
      </c>
    </row>
    <row r="44" spans="2:20" x14ac:dyDescent="0.35">
      <c r="B44" s="161"/>
      <c r="C44" s="161"/>
      <c r="D44" s="161"/>
      <c r="E44" s="161"/>
      <c r="F44" s="161"/>
      <c r="G44" s="161"/>
    </row>
    <row r="45" spans="2:20" x14ac:dyDescent="0.35">
      <c r="B45" s="161"/>
      <c r="C45" s="161"/>
      <c r="D45" s="161"/>
      <c r="E45" s="161"/>
      <c r="F45" s="161"/>
      <c r="G45" s="161"/>
    </row>
    <row r="46" spans="2:20" x14ac:dyDescent="0.35">
      <c r="B46" s="161"/>
      <c r="C46" s="161"/>
      <c r="D46" s="161"/>
      <c r="E46" s="161"/>
      <c r="F46" s="161"/>
      <c r="G46" s="161"/>
      <c r="M46" s="2" t="s">
        <v>516</v>
      </c>
      <c r="O46" s="2" t="s">
        <v>539</v>
      </c>
    </row>
    <row r="47" spans="2:20" x14ac:dyDescent="0.35">
      <c r="H47" s="2"/>
      <c r="I47" s="131"/>
      <c r="M47" s="1" t="s">
        <v>496</v>
      </c>
      <c r="N47" s="13">
        <f>1.22*10-1</f>
        <v>11.2</v>
      </c>
      <c r="O47" s="1" t="s">
        <v>75</v>
      </c>
      <c r="P47" s="1" t="s">
        <v>398</v>
      </c>
      <c r="Q47" s="108" t="s">
        <v>524</v>
      </c>
      <c r="R47" s="1" t="s">
        <v>493</v>
      </c>
      <c r="S47" s="1" t="s">
        <v>498</v>
      </c>
      <c r="T47" s="1" t="s">
        <v>497</v>
      </c>
    </row>
    <row r="48" spans="2:20" ht="15" customHeight="1" x14ac:dyDescent="0.35">
      <c r="G48" s="162"/>
      <c r="H48" s="162"/>
      <c r="I48" s="19"/>
      <c r="M48" s="1" t="s">
        <v>508</v>
      </c>
      <c r="N48" s="13">
        <v>18.2</v>
      </c>
      <c r="O48" s="1" t="s">
        <v>75</v>
      </c>
      <c r="P48" s="1" t="s">
        <v>398</v>
      </c>
      <c r="Q48" s="1" t="s">
        <v>525</v>
      </c>
      <c r="R48" s="1" t="s">
        <v>493</v>
      </c>
      <c r="S48" s="1" t="s">
        <v>510</v>
      </c>
      <c r="T48" s="1" t="s">
        <v>497</v>
      </c>
    </row>
    <row r="49" spans="7:20" ht="15" customHeight="1" x14ac:dyDescent="0.35">
      <c r="G49" s="162"/>
      <c r="H49" s="162"/>
      <c r="I49" s="16"/>
      <c r="M49" s="1" t="s">
        <v>515</v>
      </c>
      <c r="N49" s="13">
        <v>16.3</v>
      </c>
      <c r="O49" s="1" t="s">
        <v>75</v>
      </c>
      <c r="P49" s="1" t="s">
        <v>398</v>
      </c>
      <c r="Q49" s="108" t="s">
        <v>526</v>
      </c>
      <c r="R49" s="1" t="s">
        <v>493</v>
      </c>
      <c r="S49" s="1" t="s">
        <v>512</v>
      </c>
      <c r="T49" s="1" t="s">
        <v>497</v>
      </c>
    </row>
    <row r="50" spans="7:20" x14ac:dyDescent="0.35">
      <c r="I50" s="16"/>
      <c r="M50" s="1" t="s">
        <v>514</v>
      </c>
      <c r="N50" s="13">
        <v>1.55</v>
      </c>
      <c r="O50" s="1" t="s">
        <v>75</v>
      </c>
      <c r="P50" s="1" t="s">
        <v>398</v>
      </c>
      <c r="Q50" s="108" t="s">
        <v>526</v>
      </c>
      <c r="R50" s="1" t="s">
        <v>493</v>
      </c>
      <c r="S50" s="1" t="s">
        <v>513</v>
      </c>
      <c r="T50" s="1" t="s">
        <v>497</v>
      </c>
    </row>
    <row r="51" spans="7:20" ht="15.75" customHeight="1" x14ac:dyDescent="0.35">
      <c r="G51" s="162"/>
      <c r="H51" s="162"/>
      <c r="I51" s="19"/>
    </row>
    <row r="69" spans="12:12" x14ac:dyDescent="0.35">
      <c r="L69"/>
    </row>
  </sheetData>
  <sheetProtection algorithmName="SHA-512" hashValue="c2tyInTeO97/Kx4ej+vUJ58liQl1XYiZQQEi6ANMiETt3InMqxiveZ9MrUoupyx5Z1qgrH31YuN+tpTlpFh8uQ==" saltValue="bOd/5xDO6nbdco8mdK3qKg==" spinCount="100000" sheet="1" objects="1" scenarios="1"/>
  <mergeCells count="4">
    <mergeCell ref="B44:G46"/>
    <mergeCell ref="G48:H48"/>
    <mergeCell ref="G49:H49"/>
    <mergeCell ref="G51:H51"/>
  </mergeCells>
  <phoneticPr fontId="15" type="noConversion"/>
  <dataValidations count="1">
    <dataValidation type="list" showInputMessage="1" showErrorMessage="1" promptTitle="Velg materiale" sqref="H4 D4" xr:uid="{262ECF97-8AB9-4B43-A1E4-3DD2E274F9ED}">
      <formula1>$M$3:$M$41</formula1>
    </dataValidation>
  </dataValidations>
  <hyperlinks>
    <hyperlink ref="B37" r:id="rId1" display="https://www.unicon.no/produkter-tjenester/lavkarbonbetong/" xr:uid="{94F38424-B9DD-4A75-A3EF-97D45F49C751}"/>
  </hyperlinks>
  <pageMargins left="0.7" right="0.7" top="0.75" bottom="0.75" header="0.3" footer="0.3"/>
  <pageSetup paperSize="9" orientation="portrait" horizontalDpi="300" verticalDpi="3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58AA4-65A5-4B6A-B67E-B22448ABFD67}">
  <sheetPr>
    <tabColor theme="9" tint="0.79998168889431442"/>
  </sheetPr>
  <dimension ref="B1:U30"/>
  <sheetViews>
    <sheetView zoomScale="90" zoomScaleNormal="90" workbookViewId="0">
      <selection activeCell="D4" sqref="D4"/>
    </sheetView>
  </sheetViews>
  <sheetFormatPr defaultColWidth="9.1796875" defaultRowHeight="14.5" x14ac:dyDescent="0.35"/>
  <cols>
    <col min="1" max="1" width="9.1796875" style="1"/>
    <col min="2" max="2" width="27.81640625" style="1" customWidth="1"/>
    <col min="3" max="3" width="18.453125" style="1" bestFit="1" customWidth="1"/>
    <col min="4" max="4" width="36" style="1" customWidth="1"/>
    <col min="5" max="5" width="9.1796875" style="1"/>
    <col min="6" max="6" width="23.7265625" style="1" customWidth="1"/>
    <col min="7" max="7" width="23.1796875" style="1" customWidth="1"/>
    <col min="8" max="8" width="49.26953125" style="1" customWidth="1"/>
    <col min="9" max="11" width="9.1796875" style="1"/>
    <col min="12" max="12" width="11.54296875" style="1" bestFit="1" customWidth="1"/>
    <col min="13" max="13" width="36.26953125" style="1" bestFit="1" customWidth="1"/>
    <col min="14" max="14" width="21" style="1" bestFit="1" customWidth="1"/>
    <col min="15" max="15" width="16" style="1" customWidth="1"/>
    <col min="16" max="16" width="14" style="1" bestFit="1" customWidth="1"/>
    <col min="17" max="17" width="13.26953125" style="1" bestFit="1" customWidth="1"/>
    <col min="18" max="18" width="12.1796875" style="1" bestFit="1" customWidth="1"/>
    <col min="19" max="19" width="63.7265625" style="1" bestFit="1" customWidth="1"/>
    <col min="20" max="20" width="14.7265625" style="1" customWidth="1"/>
    <col min="21" max="22" width="9.1796875" style="1"/>
    <col min="23" max="26" width="9.1796875" style="1" customWidth="1"/>
    <col min="27" max="27" width="5.453125" style="1" customWidth="1"/>
    <col min="28" max="16384" width="9.1796875" style="1"/>
  </cols>
  <sheetData>
    <row r="1" spans="2:20" x14ac:dyDescent="0.35">
      <c r="M1" s="2" t="s">
        <v>424</v>
      </c>
    </row>
    <row r="2" spans="2:20" x14ac:dyDescent="0.35">
      <c r="B2" s="160" t="s">
        <v>488</v>
      </c>
      <c r="C2" s="160"/>
      <c r="D2" s="160"/>
      <c r="F2" s="160" t="s">
        <v>489</v>
      </c>
      <c r="G2" s="160"/>
      <c r="H2" s="160"/>
    </row>
    <row r="3" spans="2:20" x14ac:dyDescent="0.35">
      <c r="M3" s="2" t="s">
        <v>414</v>
      </c>
      <c r="N3" s="2" t="s">
        <v>188</v>
      </c>
      <c r="O3" s="2" t="s">
        <v>540</v>
      </c>
      <c r="P3" s="128" t="s">
        <v>415</v>
      </c>
      <c r="Q3" s="128" t="s">
        <v>416</v>
      </c>
      <c r="R3" s="128"/>
      <c r="S3" s="128"/>
    </row>
    <row r="4" spans="2:20" x14ac:dyDescent="0.35">
      <c r="B4" s="1" t="s">
        <v>490</v>
      </c>
      <c r="D4" s="152" t="s">
        <v>430</v>
      </c>
      <c r="F4" s="1" t="s">
        <v>490</v>
      </c>
      <c r="H4" s="152" t="s">
        <v>430</v>
      </c>
      <c r="M4" s="114" t="s">
        <v>430</v>
      </c>
    </row>
    <row r="5" spans="2:20" x14ac:dyDescent="0.35">
      <c r="B5" s="1" t="s">
        <v>429</v>
      </c>
      <c r="C5" s="1" t="s">
        <v>14</v>
      </c>
      <c r="D5" s="153"/>
      <c r="F5" s="1" t="s">
        <v>429</v>
      </c>
      <c r="G5" s="1" t="s">
        <v>14</v>
      </c>
      <c r="H5" s="153"/>
      <c r="M5" s="1" t="s">
        <v>182</v>
      </c>
      <c r="N5" s="126">
        <v>1.4794444444444443</v>
      </c>
      <c r="O5" s="1" t="s">
        <v>544</v>
      </c>
    </row>
    <row r="6" spans="2:20" x14ac:dyDescent="0.35">
      <c r="M6" s="1" t="s">
        <v>541</v>
      </c>
      <c r="N6" s="126">
        <v>1.9390000000000005</v>
      </c>
      <c r="O6" s="1" t="s">
        <v>544</v>
      </c>
    </row>
    <row r="7" spans="2:20" x14ac:dyDescent="0.35">
      <c r="B7" s="1" t="s">
        <v>188</v>
      </c>
      <c r="C7" s="1" t="s">
        <v>17</v>
      </c>
      <c r="D7" s="8" t="str">
        <f>IF(D4="Velg type","Ingen pukktype valgt",VLOOKUP(D4,M5:N8,2,FALSE))</f>
        <v>Ingen pukktype valgt</v>
      </c>
      <c r="F7" s="1" t="s">
        <v>188</v>
      </c>
      <c r="G7" s="1" t="s">
        <v>17</v>
      </c>
      <c r="H7" s="8" t="str">
        <f>IF(H4="Velg type","Ingen pukktype valgt",VLOOKUP(H4,M5:N21,2,FALSE))</f>
        <v>Ingen pukktype valgt</v>
      </c>
      <c r="M7" s="1" t="s">
        <v>542</v>
      </c>
      <c r="N7" s="126">
        <v>2.3864999999999998</v>
      </c>
      <c r="O7" s="1" t="s">
        <v>544</v>
      </c>
    </row>
    <row r="8" spans="2:20" x14ac:dyDescent="0.35">
      <c r="M8" s="1" t="s">
        <v>543</v>
      </c>
      <c r="N8" s="126">
        <v>2.73</v>
      </c>
      <c r="O8" s="1" t="s">
        <v>544</v>
      </c>
    </row>
    <row r="9" spans="2:20" x14ac:dyDescent="0.35">
      <c r="S9" s="19"/>
    </row>
    <row r="10" spans="2:20" x14ac:dyDescent="0.35">
      <c r="B10" s="1" t="s">
        <v>191</v>
      </c>
      <c r="C10" s="1" t="s">
        <v>21</v>
      </c>
      <c r="D10" s="153"/>
      <c r="F10" s="1" t="s">
        <v>191</v>
      </c>
      <c r="G10" s="1" t="s">
        <v>21</v>
      </c>
      <c r="H10" s="153"/>
    </row>
    <row r="12" spans="2:20" x14ac:dyDescent="0.35">
      <c r="M12" s="2" t="s">
        <v>537</v>
      </c>
      <c r="N12" s="2" t="s">
        <v>546</v>
      </c>
      <c r="O12" s="2" t="s">
        <v>540</v>
      </c>
      <c r="P12" s="2" t="s">
        <v>547</v>
      </c>
      <c r="Q12" s="2" t="s">
        <v>546</v>
      </c>
      <c r="R12" s="2" t="s">
        <v>540</v>
      </c>
      <c r="T12" s="2" t="s">
        <v>199</v>
      </c>
    </row>
    <row r="13" spans="2:20" x14ac:dyDescent="0.35">
      <c r="B13" s="1" t="s">
        <v>23</v>
      </c>
      <c r="C13" s="1" t="s">
        <v>24</v>
      </c>
      <c r="D13" s="8">
        <v>0.16</v>
      </c>
      <c r="F13" s="1" t="s">
        <v>23</v>
      </c>
      <c r="G13" s="1" t="s">
        <v>24</v>
      </c>
      <c r="H13" s="8">
        <v>0.16</v>
      </c>
      <c r="M13" s="1" t="s">
        <v>545</v>
      </c>
      <c r="N13" s="68">
        <v>2080</v>
      </c>
      <c r="O13" s="1" t="s">
        <v>432</v>
      </c>
      <c r="P13" s="1" t="s">
        <v>549</v>
      </c>
      <c r="Q13" s="130">
        <f>N13/14</f>
        <v>148.57142857142858</v>
      </c>
      <c r="R13" s="1" t="s">
        <v>548</v>
      </c>
      <c r="S13" s="1" t="s">
        <v>553</v>
      </c>
      <c r="T13" s="19" t="s">
        <v>550</v>
      </c>
    </row>
    <row r="14" spans="2:20" x14ac:dyDescent="0.35">
      <c r="M14" s="1" t="s">
        <v>556</v>
      </c>
      <c r="N14" s="68">
        <v>3387</v>
      </c>
      <c r="O14" s="1" t="s">
        <v>432</v>
      </c>
      <c r="P14" s="1" t="s">
        <v>549</v>
      </c>
      <c r="Q14" s="130">
        <f>N14/14</f>
        <v>241.92857142857142</v>
      </c>
      <c r="R14" s="1" t="s">
        <v>548</v>
      </c>
      <c r="S14" s="1" t="s">
        <v>553</v>
      </c>
      <c r="T14" s="19" t="s">
        <v>557</v>
      </c>
    </row>
    <row r="15" spans="2:20" x14ac:dyDescent="0.35">
      <c r="B15" s="1" t="s">
        <v>176</v>
      </c>
      <c r="C15" s="1" t="s">
        <v>34</v>
      </c>
      <c r="D15" s="9" t="str">
        <f>IF(D4="Velg type","Fyll ut alle grønne celler",D5*D7)</f>
        <v>Fyll ut alle grønne celler</v>
      </c>
      <c r="F15" s="1" t="s">
        <v>176</v>
      </c>
      <c r="G15" s="1" t="s">
        <v>34</v>
      </c>
      <c r="H15" s="9" t="str">
        <f>IF(H4="Velg type","Fyll ut alle grønne celler",H5*H7)</f>
        <v>Fyll ut alle grønne celler</v>
      </c>
      <c r="M15" s="1" t="s">
        <v>551</v>
      </c>
      <c r="N15" s="68">
        <v>3445</v>
      </c>
      <c r="O15" s="1" t="s">
        <v>432</v>
      </c>
      <c r="P15" s="1" t="s">
        <v>549</v>
      </c>
      <c r="Q15" s="130">
        <f>N15/14</f>
        <v>246.07142857142858</v>
      </c>
      <c r="R15" s="1" t="s">
        <v>548</v>
      </c>
      <c r="S15" s="1" t="s">
        <v>553</v>
      </c>
      <c r="T15" s="19" t="s">
        <v>552</v>
      </c>
    </row>
    <row r="16" spans="2:20" x14ac:dyDescent="0.35">
      <c r="B16" s="1" t="s">
        <v>178</v>
      </c>
      <c r="C16" s="1" t="s">
        <v>34</v>
      </c>
      <c r="D16" s="9">
        <f>D5*D10*D13</f>
        <v>0</v>
      </c>
      <c r="F16" s="1" t="s">
        <v>178</v>
      </c>
      <c r="G16" s="1" t="s">
        <v>34</v>
      </c>
      <c r="H16" s="9">
        <f>H5*H10*H13</f>
        <v>0</v>
      </c>
      <c r="M16" s="1" t="s">
        <v>554</v>
      </c>
      <c r="N16" s="68">
        <v>3445</v>
      </c>
      <c r="O16" s="1" t="s">
        <v>432</v>
      </c>
      <c r="P16" s="1" t="s">
        <v>549</v>
      </c>
      <c r="Q16" s="130">
        <f>N16/14</f>
        <v>246.07142857142858</v>
      </c>
      <c r="R16" s="1" t="s">
        <v>548</v>
      </c>
      <c r="S16" s="1" t="s">
        <v>553</v>
      </c>
      <c r="T16" s="19" t="s">
        <v>555</v>
      </c>
    </row>
    <row r="17" spans="2:21" x14ac:dyDescent="0.35">
      <c r="M17" s="1" t="s">
        <v>558</v>
      </c>
      <c r="Q17" s="1">
        <v>125</v>
      </c>
      <c r="R17" s="1" t="s">
        <v>548</v>
      </c>
      <c r="S17" s="133" t="s">
        <v>563</v>
      </c>
      <c r="T17" s="16" t="s">
        <v>565</v>
      </c>
    </row>
    <row r="18" spans="2:21" x14ac:dyDescent="0.35">
      <c r="M18" s="1" t="s">
        <v>559</v>
      </c>
      <c r="Q18" s="1">
        <v>115</v>
      </c>
      <c r="R18" s="1" t="s">
        <v>548</v>
      </c>
      <c r="S18" s="133" t="s">
        <v>563</v>
      </c>
      <c r="T18" s="16" t="s">
        <v>565</v>
      </c>
    </row>
    <row r="19" spans="2:21" x14ac:dyDescent="0.35">
      <c r="B19" s="1" t="s">
        <v>33</v>
      </c>
      <c r="C19" s="1" t="s">
        <v>34</v>
      </c>
      <c r="D19" s="10" t="e">
        <f>D15+D16</f>
        <v>#VALUE!</v>
      </c>
      <c r="F19" s="1" t="s">
        <v>33</v>
      </c>
      <c r="G19" s="1" t="s">
        <v>34</v>
      </c>
      <c r="H19" s="10" t="e">
        <f>H15+H16</f>
        <v>#VALUE!</v>
      </c>
      <c r="M19" s="1" t="s">
        <v>560</v>
      </c>
      <c r="Q19" s="1">
        <v>124</v>
      </c>
      <c r="R19" s="1" t="s">
        <v>548</v>
      </c>
      <c r="S19" s="1" t="s">
        <v>564</v>
      </c>
      <c r="T19" s="16" t="s">
        <v>565</v>
      </c>
    </row>
    <row r="20" spans="2:21" x14ac:dyDescent="0.35">
      <c r="C20" s="1" t="s">
        <v>54</v>
      </c>
      <c r="D20" s="60" t="e">
        <f>D19/1000</f>
        <v>#VALUE!</v>
      </c>
      <c r="G20" s="1" t="s">
        <v>54</v>
      </c>
      <c r="H20" s="60" t="e">
        <f>H19/1000</f>
        <v>#VALUE!</v>
      </c>
      <c r="M20" s="1" t="s">
        <v>561</v>
      </c>
      <c r="Q20" s="1">
        <v>105</v>
      </c>
      <c r="R20" s="1" t="s">
        <v>548</v>
      </c>
      <c r="S20" s="133" t="s">
        <v>563</v>
      </c>
      <c r="T20" s="16" t="s">
        <v>565</v>
      </c>
    </row>
    <row r="21" spans="2:21" x14ac:dyDescent="0.35">
      <c r="M21" s="1" t="s">
        <v>562</v>
      </c>
      <c r="Q21" s="1">
        <v>85</v>
      </c>
      <c r="R21" s="1" t="s">
        <v>548</v>
      </c>
      <c r="S21" s="133" t="s">
        <v>563</v>
      </c>
      <c r="T21" s="16" t="s">
        <v>565</v>
      </c>
    </row>
    <row r="22" spans="2:21" x14ac:dyDescent="0.35">
      <c r="N22" s="127"/>
    </row>
    <row r="23" spans="2:21" x14ac:dyDescent="0.35">
      <c r="B23" s="107" t="s">
        <v>184</v>
      </c>
      <c r="C23" s="107"/>
      <c r="D23" s="107"/>
      <c r="E23" s="107"/>
      <c r="F23" s="107"/>
      <c r="G23" s="107"/>
      <c r="H23" s="107"/>
      <c r="N23" s="3"/>
      <c r="U23" s="19"/>
    </row>
    <row r="25" spans="2:21" ht="14.25" customHeight="1" x14ac:dyDescent="0.35">
      <c r="B25" s="1" t="str">
        <f>B2</f>
        <v>PUKKTYPE 1</v>
      </c>
      <c r="C25" s="1" t="s">
        <v>34</v>
      </c>
      <c r="D25" s="6" t="e">
        <f>D19</f>
        <v>#VALUE!</v>
      </c>
      <c r="M25" s="147"/>
      <c r="N25" s="147"/>
      <c r="O25" s="147"/>
    </row>
    <row r="26" spans="2:21" x14ac:dyDescent="0.35">
      <c r="B26" s="1" t="str">
        <f>F2</f>
        <v>PUKKTYPE 2</v>
      </c>
      <c r="C26" s="1" t="s">
        <v>34</v>
      </c>
      <c r="D26" s="6" t="e">
        <f>H19</f>
        <v>#VALUE!</v>
      </c>
      <c r="M26" s="148"/>
      <c r="N26" s="149"/>
      <c r="O26" s="149"/>
    </row>
    <row r="27" spans="2:21" x14ac:dyDescent="0.35">
      <c r="M27" s="148"/>
      <c r="N27" s="149"/>
      <c r="O27" s="149"/>
    </row>
    <row r="28" spans="2:21" x14ac:dyDescent="0.35">
      <c r="M28" s="148"/>
      <c r="N28" s="149"/>
      <c r="O28" s="149"/>
    </row>
    <row r="29" spans="2:21" x14ac:dyDescent="0.35">
      <c r="B29" s="1" t="s">
        <v>52</v>
      </c>
      <c r="C29" s="1" t="s">
        <v>34</v>
      </c>
      <c r="D29" s="7" t="e">
        <f>$D$25-$D$26</f>
        <v>#VALUE!</v>
      </c>
    </row>
    <row r="30" spans="2:21" x14ac:dyDescent="0.35">
      <c r="C30" s="1" t="s">
        <v>54</v>
      </c>
      <c r="D30" s="129" t="e">
        <f>D29/1000</f>
        <v>#VALUE!</v>
      </c>
    </row>
  </sheetData>
  <sheetProtection algorithmName="SHA-512" hashValue="/4TB1O/+5UR4Pbs0ppH8ZAvswuYAIrS7LzjyKjzychuezCkuGs/FrGXXbfJXxLxa2HRf3PPFXHOJLVxwrZt9Tg==" saltValue="RqSl89Hvw8+0W3DLzA2p+A==" spinCount="100000" sheet="1" objects="1" scenarios="1"/>
  <mergeCells count="2">
    <mergeCell ref="B2:D2"/>
    <mergeCell ref="F2:H2"/>
  </mergeCells>
  <phoneticPr fontId="15" type="noConversion"/>
  <dataValidations count="1">
    <dataValidation type="list" showInputMessage="1" showErrorMessage="1" promptTitle="Velg materiale" sqref="H4 D4" xr:uid="{B9B3250F-AAD8-4B93-9EB1-BBBD11200AD7}">
      <formula1>$M$4:$M$8</formula1>
    </dataValidation>
  </dataValidations>
  <hyperlinks>
    <hyperlink ref="T13" r:id="rId1" display="https://webshop.bjornarstransport.no/products/sprengstein-0-600mm" xr:uid="{9C518912-AA30-461D-9DCE-5425FA4D24B9}"/>
    <hyperlink ref="T15" r:id="rId2" display="https://webshop.bjornarstransport.no/products/pukk-32-64mm" xr:uid="{CE3DD4F8-FBF0-408E-A9ED-884EA9898455}"/>
    <hyperlink ref="T16" r:id="rId3" display="https://webshop.bjornarstransport.no/products/pukk-16-32mm" xr:uid="{FFD53CEA-889B-4FCD-BF99-87A4D2C7E3E3}"/>
    <hyperlink ref="T14" r:id="rId4" display="https://webshop.bjornarstransport.no/products/kult-20-150mm" xr:uid="{EC738F79-EEFA-4EF8-A621-204D85DC3EDB}"/>
    <hyperlink ref="T17" r:id="rId5" xr:uid="{37359A94-EA55-478E-A54D-624B2BAB5CEA}"/>
    <hyperlink ref="T18:T21" r:id="rId6" display="https://www.ringknuten.no/prisliste-masser" xr:uid="{A9198439-D298-452F-A3CE-F872DD39287C}"/>
  </hyperlinks>
  <pageMargins left="0.7" right="0.7" top="0.75" bottom="0.75" header="0.3" footer="0.3"/>
  <pageSetup paperSize="9" orientation="portrait" horizontalDpi="300" verticalDpi="300" r:id="rId7"/>
  <drawing r:id="rId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BD850-BC83-450C-BE1D-AEA6ADCA0359}">
  <sheetPr>
    <tabColor theme="9" tint="0.79998168889431442"/>
  </sheetPr>
  <dimension ref="B2:X30"/>
  <sheetViews>
    <sheetView showGridLines="0" workbookViewId="0">
      <selection activeCell="Q8" sqref="Q8"/>
    </sheetView>
  </sheetViews>
  <sheetFormatPr defaultColWidth="8.81640625" defaultRowHeight="14.5" x14ac:dyDescent="0.35"/>
  <cols>
    <col min="1" max="1" width="3.26953125" style="12" customWidth="1"/>
    <col min="2" max="2" width="31.81640625" style="12" bestFit="1" customWidth="1"/>
    <col min="3" max="3" width="12.1796875" style="12" bestFit="1" customWidth="1"/>
    <col min="4" max="5" width="8.81640625" style="12"/>
    <col min="6" max="6" width="31.81640625" style="12" bestFit="1" customWidth="1"/>
    <col min="7" max="7" width="12.1796875" style="12" bestFit="1" customWidth="1"/>
    <col min="8" max="9" width="8.81640625" style="12"/>
    <col min="10" max="10" width="31.81640625" style="12" bestFit="1" customWidth="1"/>
    <col min="11" max="11" width="12.7265625" style="12" bestFit="1" customWidth="1"/>
    <col min="12" max="14" width="8.81640625" style="12"/>
    <col min="15" max="15" width="31.81640625" style="12" bestFit="1" customWidth="1"/>
    <col min="16" max="16" width="5.1796875" style="12" bestFit="1" customWidth="1"/>
    <col min="17" max="19" width="8.81640625" style="12"/>
    <col min="20" max="20" width="78.26953125" style="12" bestFit="1" customWidth="1"/>
    <col min="21" max="21" width="11.453125" style="12" bestFit="1" customWidth="1"/>
    <col min="22" max="16384" width="8.81640625" style="12"/>
  </cols>
  <sheetData>
    <row r="2" spans="2:24" x14ac:dyDescent="0.35">
      <c r="C2" s="99"/>
      <c r="D2" s="67" t="s">
        <v>366</v>
      </c>
    </row>
    <row r="3" spans="2:24" x14ac:dyDescent="0.35">
      <c r="C3" s="103"/>
      <c r="D3" s="67" t="s">
        <v>365</v>
      </c>
    </row>
    <row r="4" spans="2:24" x14ac:dyDescent="0.35">
      <c r="T4" s="42"/>
      <c r="U4" s="42"/>
      <c r="V4" s="42"/>
      <c r="W4" s="42"/>
      <c r="X4" s="42"/>
    </row>
    <row r="5" spans="2:24" x14ac:dyDescent="0.35">
      <c r="B5" s="159" t="s">
        <v>200</v>
      </c>
      <c r="C5" s="159"/>
      <c r="D5" s="159"/>
      <c r="F5" s="159" t="s">
        <v>201</v>
      </c>
      <c r="G5" s="159"/>
      <c r="H5" s="159"/>
      <c r="J5" s="159" t="s">
        <v>202</v>
      </c>
      <c r="K5" s="159"/>
      <c r="L5" s="159"/>
      <c r="O5" s="159" t="s">
        <v>140</v>
      </c>
      <c r="P5" s="159"/>
      <c r="Q5" s="159"/>
      <c r="T5" s="42"/>
      <c r="W5" s="42"/>
      <c r="X5" s="42"/>
    </row>
    <row r="6" spans="2:24" x14ac:dyDescent="0.35">
      <c r="T6" s="45"/>
      <c r="U6" s="45"/>
      <c r="V6" s="45"/>
      <c r="W6" s="42"/>
      <c r="X6" s="42"/>
    </row>
    <row r="7" spans="2:24" x14ac:dyDescent="0.35">
      <c r="B7" s="42" t="s">
        <v>203</v>
      </c>
      <c r="C7" s="42" t="s">
        <v>24</v>
      </c>
      <c r="D7" s="56">
        <f>'Diverse faktorer'!H30</f>
        <v>0.16400000000000001</v>
      </c>
      <c r="F7" s="42" t="s">
        <v>203</v>
      </c>
      <c r="G7" s="42" t="s">
        <v>24</v>
      </c>
      <c r="H7" s="56">
        <f>'Diverse faktorer'!H32</f>
        <v>1.7516249999999997E-2</v>
      </c>
      <c r="J7" s="42" t="s">
        <v>203</v>
      </c>
      <c r="K7" s="42" t="s">
        <v>24</v>
      </c>
      <c r="L7" s="56">
        <f>'Diverse faktorer'!H34</f>
        <v>8.3999999999999995E-3</v>
      </c>
      <c r="O7" s="15" t="s">
        <v>204</v>
      </c>
      <c r="T7" s="42"/>
      <c r="U7" s="1"/>
      <c r="V7" s="5"/>
      <c r="W7" s="42"/>
      <c r="X7" s="42"/>
    </row>
    <row r="8" spans="2:24" x14ac:dyDescent="0.35">
      <c r="O8" s="12" t="s">
        <v>205</v>
      </c>
      <c r="P8" s="12" t="s">
        <v>14</v>
      </c>
      <c r="Q8" s="134"/>
      <c r="T8" s="42"/>
      <c r="U8" s="42"/>
      <c r="V8" s="42"/>
      <c r="W8" s="42"/>
      <c r="X8" s="42"/>
    </row>
    <row r="9" spans="2:24" x14ac:dyDescent="0.35">
      <c r="B9" s="12" t="s">
        <v>206</v>
      </c>
      <c r="C9" s="42" t="s">
        <v>24</v>
      </c>
      <c r="D9" s="56">
        <f>Drivstoff!F24</f>
        <v>5.2147800000000015E-2</v>
      </c>
      <c r="F9" s="12" t="s">
        <v>206</v>
      </c>
      <c r="G9" s="42" t="s">
        <v>24</v>
      </c>
      <c r="H9" s="56">
        <f>Drivstoff!F25</f>
        <v>1.7496000000000001E-2</v>
      </c>
      <c r="J9" s="12" t="s">
        <v>206</v>
      </c>
      <c r="K9" s="42" t="s">
        <v>24</v>
      </c>
      <c r="L9" s="56">
        <f>Drivstoff!F26</f>
        <v>2.3112000000000001E-2</v>
      </c>
      <c r="O9" s="12" t="s">
        <v>207</v>
      </c>
      <c r="P9" s="12" t="s">
        <v>14</v>
      </c>
      <c r="Q9" s="134"/>
      <c r="T9" s="42"/>
      <c r="U9" s="42"/>
      <c r="V9" s="42"/>
      <c r="W9" s="42"/>
      <c r="X9" s="42"/>
    </row>
    <row r="10" spans="2:24" x14ac:dyDescent="0.35">
      <c r="O10" s="12" t="s">
        <v>208</v>
      </c>
      <c r="P10" s="12" t="s">
        <v>14</v>
      </c>
      <c r="Q10" s="134"/>
      <c r="T10" s="42"/>
      <c r="U10" s="42"/>
      <c r="V10" s="42"/>
      <c r="W10" s="42"/>
      <c r="X10" s="42"/>
    </row>
    <row r="11" spans="2:24" x14ac:dyDescent="0.35">
      <c r="B11" s="15" t="s">
        <v>209</v>
      </c>
      <c r="F11" s="15" t="s">
        <v>209</v>
      </c>
      <c r="J11" s="15" t="s">
        <v>209</v>
      </c>
      <c r="Q11" s="137"/>
      <c r="T11" s="42"/>
      <c r="U11" s="42"/>
      <c r="V11" s="42"/>
      <c r="W11" s="42"/>
      <c r="X11" s="42"/>
    </row>
    <row r="12" spans="2:24" x14ac:dyDescent="0.35">
      <c r="B12" s="12" t="s">
        <v>210</v>
      </c>
      <c r="C12" s="12" t="s">
        <v>211</v>
      </c>
      <c r="D12" s="64">
        <v>5.5</v>
      </c>
      <c r="F12" s="12" t="s">
        <v>210</v>
      </c>
      <c r="G12" s="12" t="s">
        <v>211</v>
      </c>
      <c r="H12" s="64">
        <v>5.79</v>
      </c>
      <c r="J12" s="12" t="s">
        <v>210</v>
      </c>
      <c r="K12" s="12" t="s">
        <v>212</v>
      </c>
      <c r="L12" s="64">
        <v>13</v>
      </c>
      <c r="O12" s="15" t="s">
        <v>213</v>
      </c>
      <c r="Q12" s="137"/>
      <c r="T12" s="42"/>
      <c r="U12" s="42"/>
      <c r="V12" s="42"/>
      <c r="W12" s="42"/>
      <c r="X12" s="42"/>
    </row>
    <row r="13" spans="2:24" x14ac:dyDescent="0.35">
      <c r="B13" s="12" t="s">
        <v>214</v>
      </c>
      <c r="C13" s="12" t="s">
        <v>211</v>
      </c>
      <c r="D13" s="64">
        <v>10</v>
      </c>
      <c r="F13" s="12" t="s">
        <v>214</v>
      </c>
      <c r="G13" s="12" t="s">
        <v>211</v>
      </c>
      <c r="H13" s="64">
        <v>10.52</v>
      </c>
      <c r="J13" s="12" t="s">
        <v>214</v>
      </c>
      <c r="K13" s="12" t="s">
        <v>212</v>
      </c>
      <c r="L13" s="64">
        <v>28</v>
      </c>
      <c r="O13" s="42" t="s">
        <v>205</v>
      </c>
      <c r="P13" s="42" t="s">
        <v>21</v>
      </c>
      <c r="Q13" s="134"/>
      <c r="T13" s="42"/>
      <c r="U13" s="42"/>
      <c r="V13" s="42"/>
      <c r="W13" s="42"/>
      <c r="X13" s="42"/>
    </row>
    <row r="14" spans="2:24" x14ac:dyDescent="0.35">
      <c r="B14" s="12" t="s">
        <v>215</v>
      </c>
      <c r="C14" s="12" t="s">
        <v>211</v>
      </c>
      <c r="D14" s="64">
        <v>30</v>
      </c>
      <c r="F14" s="12" t="s">
        <v>215</v>
      </c>
      <c r="G14" s="12" t="s">
        <v>211</v>
      </c>
      <c r="H14" s="64">
        <v>31.57</v>
      </c>
      <c r="J14" s="12" t="s">
        <v>215</v>
      </c>
      <c r="K14" s="12" t="s">
        <v>212</v>
      </c>
      <c r="L14" s="64">
        <v>100</v>
      </c>
      <c r="O14" s="12" t="s">
        <v>207</v>
      </c>
      <c r="P14" s="12" t="s">
        <v>21</v>
      </c>
      <c r="Q14" s="134">
        <v>1</v>
      </c>
      <c r="T14" s="42"/>
      <c r="U14" s="42"/>
      <c r="V14" s="42"/>
      <c r="W14" s="42"/>
      <c r="X14" s="42"/>
    </row>
    <row r="15" spans="2:24" x14ac:dyDescent="0.35">
      <c r="O15" s="12" t="s">
        <v>208</v>
      </c>
      <c r="P15" s="12" t="s">
        <v>21</v>
      </c>
      <c r="Q15" s="134">
        <v>30</v>
      </c>
      <c r="T15" s="42"/>
      <c r="U15" s="42"/>
      <c r="V15" s="42"/>
      <c r="W15" s="42"/>
      <c r="X15" s="42"/>
    </row>
    <row r="16" spans="2:24" x14ac:dyDescent="0.35">
      <c r="B16" s="12" t="s">
        <v>216</v>
      </c>
      <c r="C16" s="12" t="s">
        <v>32</v>
      </c>
      <c r="D16" s="56">
        <f>Drivstoff!F4</f>
        <v>3.0132000000000003</v>
      </c>
      <c r="F16" s="12" t="s">
        <v>216</v>
      </c>
      <c r="G16" s="12" t="s">
        <v>32</v>
      </c>
      <c r="H16" s="56">
        <f>'Diverse faktorer'!H44</f>
        <v>0.97199999999999998</v>
      </c>
      <c r="J16" s="12" t="s">
        <v>216</v>
      </c>
      <c r="K16" s="12" t="s">
        <v>217</v>
      </c>
      <c r="L16" s="56">
        <f>Drivstoff!C24</f>
        <v>2.3777E-2</v>
      </c>
      <c r="Q16" s="137"/>
      <c r="T16" s="42"/>
      <c r="U16" s="42"/>
      <c r="V16" s="42"/>
      <c r="W16" s="42"/>
      <c r="X16" s="42"/>
    </row>
    <row r="17" spans="2:24" x14ac:dyDescent="0.35">
      <c r="O17" s="15" t="s">
        <v>218</v>
      </c>
      <c r="Q17" s="137"/>
      <c r="T17" s="42"/>
      <c r="U17" s="42"/>
      <c r="V17" s="42"/>
      <c r="W17" s="42"/>
      <c r="X17" s="42"/>
    </row>
    <row r="18" spans="2:24" x14ac:dyDescent="0.35">
      <c r="B18" s="45" t="s">
        <v>33</v>
      </c>
      <c r="C18" s="45" t="s">
        <v>34</v>
      </c>
      <c r="D18" s="46">
        <f xml:space="preserve"> 2*D7*$Q$8*$Q$13 + 2*D9*$Q$9*$Q$14 + 2*D9*$Q$10*$Q$15 + (D12*$Q$18 + D13*$Q$19 + D14*$Q$20)*D16</f>
        <v>13559.400000000001</v>
      </c>
      <c r="F18" s="45" t="s">
        <v>33</v>
      </c>
      <c r="G18" s="45" t="s">
        <v>34</v>
      </c>
      <c r="H18" s="46">
        <f xml:space="preserve"> 2*H7*$Q$8*$Q$13 + 2*H9*$Q$9*$Q$14 + 2*H9*$Q$10*$Q$15 + (H12*$Q$18 + H13*$Q$19 + H14*$Q$20)*H16</f>
        <v>4602.5172000000002</v>
      </c>
      <c r="J18" s="45" t="s">
        <v>33</v>
      </c>
      <c r="K18" s="45" t="s">
        <v>34</v>
      </c>
      <c r="L18" s="46">
        <f xml:space="preserve"> 2*L7*$Q$8*$Q$13 + 2*L9*$Q$9*$Q$14 + 2*L9*$Q$10*$Q$15 + (L12*$Q$18 + L13*$Q$19 + L14*$Q$20)*L16</f>
        <v>299.59019999999998</v>
      </c>
      <c r="O18" s="12" t="s">
        <v>210</v>
      </c>
      <c r="P18" s="42" t="s">
        <v>219</v>
      </c>
      <c r="Q18" s="134">
        <v>200</v>
      </c>
      <c r="T18" s="42"/>
      <c r="U18" s="42"/>
      <c r="V18" s="42"/>
      <c r="W18" s="42"/>
      <c r="X18" s="42"/>
    </row>
    <row r="19" spans="2:24" x14ac:dyDescent="0.35">
      <c r="C19" s="15" t="s">
        <v>54</v>
      </c>
      <c r="D19" s="46">
        <f>D18/1000</f>
        <v>13.559400000000002</v>
      </c>
      <c r="G19" s="15" t="s">
        <v>54</v>
      </c>
      <c r="H19" s="46">
        <f>H18/1000</f>
        <v>4.6025172000000003</v>
      </c>
      <c r="K19" s="15" t="s">
        <v>54</v>
      </c>
      <c r="L19" s="46">
        <f>L18/1000</f>
        <v>0.29959019999999997</v>
      </c>
      <c r="O19" s="12" t="s">
        <v>214</v>
      </c>
      <c r="P19" s="12" t="s">
        <v>219</v>
      </c>
      <c r="Q19" s="134">
        <v>250</v>
      </c>
      <c r="T19" s="15" t="s">
        <v>220</v>
      </c>
      <c r="U19" s="42"/>
      <c r="V19" s="42"/>
      <c r="W19" s="42"/>
      <c r="X19" s="42"/>
    </row>
    <row r="20" spans="2:24" x14ac:dyDescent="0.35">
      <c r="O20" s="12" t="s">
        <v>215</v>
      </c>
      <c r="P20" s="12" t="s">
        <v>219</v>
      </c>
      <c r="Q20" s="134">
        <v>30</v>
      </c>
      <c r="T20" t="s">
        <v>221</v>
      </c>
    </row>
    <row r="21" spans="2:24" x14ac:dyDescent="0.35">
      <c r="T21" s="12" t="s">
        <v>222</v>
      </c>
    </row>
    <row r="22" spans="2:24" x14ac:dyDescent="0.35">
      <c r="B22" s="62"/>
    </row>
    <row r="24" spans="2:24" x14ac:dyDescent="0.35">
      <c r="F24" s="155" t="s">
        <v>184</v>
      </c>
      <c r="G24" s="155"/>
      <c r="H24" s="155"/>
      <c r="J24" s="155" t="s">
        <v>184</v>
      </c>
      <c r="K24" s="155"/>
      <c r="L24" s="155"/>
    </row>
    <row r="25" spans="2:24" x14ac:dyDescent="0.35">
      <c r="F25" s="42"/>
      <c r="G25" s="42"/>
      <c r="H25" s="43"/>
      <c r="J25" s="42"/>
      <c r="K25" s="42"/>
      <c r="L25" s="43"/>
    </row>
    <row r="26" spans="2:24" x14ac:dyDescent="0.35">
      <c r="F26" s="42" t="s">
        <v>223</v>
      </c>
      <c r="G26" s="42" t="s">
        <v>54</v>
      </c>
      <c r="H26" s="44">
        <f>$D$19</f>
        <v>13.559400000000002</v>
      </c>
      <c r="J26" s="42" t="s">
        <v>223</v>
      </c>
      <c r="K26" s="42" t="s">
        <v>54</v>
      </c>
      <c r="L26" s="44">
        <f>$D$19</f>
        <v>13.559400000000002</v>
      </c>
    </row>
    <row r="27" spans="2:24" x14ac:dyDescent="0.35">
      <c r="F27" s="42" t="s">
        <v>224</v>
      </c>
      <c r="G27" s="42" t="s">
        <v>54</v>
      </c>
      <c r="H27" s="44">
        <f>$H$19</f>
        <v>4.6025172000000003</v>
      </c>
      <c r="J27" s="42" t="s">
        <v>225</v>
      </c>
      <c r="K27" s="42" t="s">
        <v>54</v>
      </c>
      <c r="L27" s="44">
        <f>$L$19</f>
        <v>0.29959019999999997</v>
      </c>
    </row>
    <row r="28" spans="2:24" x14ac:dyDescent="0.35">
      <c r="F28" s="42"/>
      <c r="G28" s="42"/>
      <c r="H28" s="43"/>
      <c r="J28" s="42"/>
      <c r="K28" s="42"/>
      <c r="L28" s="43"/>
    </row>
    <row r="29" spans="2:24" x14ac:dyDescent="0.35">
      <c r="F29" s="42"/>
      <c r="G29" s="42"/>
      <c r="H29" s="43"/>
      <c r="J29" s="42"/>
      <c r="K29" s="42"/>
      <c r="L29" s="43"/>
    </row>
    <row r="30" spans="2:24" x14ac:dyDescent="0.35">
      <c r="F30" s="45" t="s">
        <v>52</v>
      </c>
      <c r="G30" s="45" t="s">
        <v>54</v>
      </c>
      <c r="H30" s="48">
        <f>H26-H27</f>
        <v>8.9568828000000025</v>
      </c>
      <c r="J30" s="45" t="s">
        <v>52</v>
      </c>
      <c r="K30" s="45" t="s">
        <v>54</v>
      </c>
      <c r="L30" s="48">
        <f>L26-L27</f>
        <v>13.259809800000001</v>
      </c>
    </row>
  </sheetData>
  <sheetProtection algorithmName="SHA-512" hashValue="h4TsEX6UPMi1ACdceejccqesnpps1LaoYD0K82QWmwfZMK+UNFsmDytldI1OHo1zF7cYBSXaAtYNH3OdOKrGeQ==" saltValue="owZVPucjAn5ODxxRT6hX/Q==" spinCount="100000" sheet="1" objects="1" scenarios="1"/>
  <mergeCells count="6">
    <mergeCell ref="B5:D5"/>
    <mergeCell ref="O5:Q5"/>
    <mergeCell ref="F5:H5"/>
    <mergeCell ref="J5:L5"/>
    <mergeCell ref="F24:H24"/>
    <mergeCell ref="J24:L2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475A6-5438-40B3-9A1D-0BC594AD1FFC}">
  <sheetPr>
    <tabColor theme="9" tint="0.79998168889431442"/>
  </sheetPr>
  <dimension ref="B2:R38"/>
  <sheetViews>
    <sheetView showGridLines="0" zoomScaleNormal="100" workbookViewId="0">
      <selection activeCell="N16" sqref="N16"/>
    </sheetView>
  </sheetViews>
  <sheetFormatPr defaultColWidth="9.1796875" defaultRowHeight="14.5" x14ac:dyDescent="0.35"/>
  <cols>
    <col min="1" max="1" width="9.1796875" style="42"/>
    <col min="2" max="2" width="30" style="42" bestFit="1" customWidth="1"/>
    <col min="3" max="3" width="12.1796875" style="42" bestFit="1" customWidth="1"/>
    <col min="4" max="4" width="10.453125" style="43" customWidth="1"/>
    <col min="5" max="5" width="4.81640625" style="42" customWidth="1"/>
    <col min="6" max="6" width="9.1796875" style="42"/>
    <col min="7" max="7" width="30" style="42" bestFit="1" customWidth="1"/>
    <col min="8" max="8" width="12.1796875" style="42" bestFit="1" customWidth="1"/>
    <col min="9" max="9" width="9.81640625" style="43" bestFit="1" customWidth="1"/>
    <col min="10" max="11" width="9.1796875" style="42"/>
    <col min="12" max="12" width="31.453125" style="42" bestFit="1" customWidth="1"/>
    <col min="13" max="15" width="8.26953125" style="42" customWidth="1"/>
    <col min="16" max="17" width="9.1796875" style="42"/>
    <col min="18" max="18" width="24.81640625" style="42" customWidth="1"/>
    <col min="19" max="16384" width="9.1796875" style="42"/>
  </cols>
  <sheetData>
    <row r="2" spans="2:18" x14ac:dyDescent="0.35">
      <c r="C2" s="99"/>
      <c r="D2" s="67" t="s">
        <v>364</v>
      </c>
    </row>
    <row r="3" spans="2:18" x14ac:dyDescent="0.35">
      <c r="C3" s="103"/>
      <c r="D3" s="67" t="s">
        <v>365</v>
      </c>
    </row>
    <row r="5" spans="2:18" x14ac:dyDescent="0.35">
      <c r="B5" s="155" t="s">
        <v>226</v>
      </c>
      <c r="C5" s="155"/>
      <c r="D5" s="155"/>
      <c r="E5" s="41"/>
      <c r="G5" s="155" t="s">
        <v>227</v>
      </c>
      <c r="H5" s="155"/>
      <c r="I5" s="155"/>
      <c r="K5" s="45"/>
      <c r="L5" s="159" t="s">
        <v>140</v>
      </c>
      <c r="M5" s="159"/>
      <c r="N5" s="159"/>
    </row>
    <row r="6" spans="2:18" x14ac:dyDescent="0.35">
      <c r="L6" s="12"/>
      <c r="M6" s="12"/>
      <c r="N6" s="12"/>
      <c r="R6" s="12" t="s">
        <v>228</v>
      </c>
    </row>
    <row r="7" spans="2:18" x14ac:dyDescent="0.35">
      <c r="B7" s="42" t="s">
        <v>229</v>
      </c>
      <c r="C7" s="42" t="s">
        <v>14</v>
      </c>
      <c r="D7" s="97">
        <f>$N$11*$N$13</f>
        <v>0</v>
      </c>
      <c r="G7" s="42" t="s">
        <v>229</v>
      </c>
      <c r="H7" s="42" t="s">
        <v>14</v>
      </c>
      <c r="I7" s="97">
        <f>$N$11*$N$13</f>
        <v>0</v>
      </c>
      <c r="K7" s="90"/>
      <c r="L7" s="42" t="s">
        <v>142</v>
      </c>
      <c r="M7" s="157" t="s">
        <v>143</v>
      </c>
      <c r="N7" s="158"/>
      <c r="R7" s="12" t="s">
        <v>143</v>
      </c>
    </row>
    <row r="8" spans="2:18" x14ac:dyDescent="0.35">
      <c r="R8" s="12" t="s">
        <v>183</v>
      </c>
    </row>
    <row r="9" spans="2:18" x14ac:dyDescent="0.35">
      <c r="B9" s="42" t="s">
        <v>161</v>
      </c>
      <c r="C9" s="42" t="s">
        <v>21</v>
      </c>
      <c r="D9" s="97">
        <f>$N$15</f>
        <v>0</v>
      </c>
      <c r="G9" s="42" t="s">
        <v>161</v>
      </c>
      <c r="H9" s="42" t="s">
        <v>21</v>
      </c>
      <c r="I9" s="98">
        <f>$N$16</f>
        <v>0</v>
      </c>
      <c r="L9" s="42" t="s">
        <v>186</v>
      </c>
      <c r="M9" s="42" t="s">
        <v>148</v>
      </c>
      <c r="N9" s="134"/>
      <c r="R9" s="12" t="s">
        <v>182</v>
      </c>
    </row>
    <row r="10" spans="2:18" x14ac:dyDescent="0.35">
      <c r="L10" s="42" t="s">
        <v>230</v>
      </c>
      <c r="M10" s="42" t="s">
        <v>148</v>
      </c>
      <c r="N10" s="134"/>
    </row>
    <row r="11" spans="2:18" x14ac:dyDescent="0.35">
      <c r="B11" s="42" t="s">
        <v>203</v>
      </c>
      <c r="C11" s="42" t="s">
        <v>24</v>
      </c>
      <c r="D11" s="56">
        <v>0.16400000000000001</v>
      </c>
      <c r="E11" s="47"/>
      <c r="G11" s="42" t="s">
        <v>23</v>
      </c>
      <c r="H11" s="42" t="s">
        <v>24</v>
      </c>
      <c r="I11" s="56">
        <v>0.16400000000000001</v>
      </c>
      <c r="L11" s="42" t="s">
        <v>231</v>
      </c>
      <c r="M11" s="42" t="s">
        <v>148</v>
      </c>
      <c r="N11" s="97">
        <f>N9+N10</f>
        <v>0</v>
      </c>
    </row>
    <row r="12" spans="2:18" x14ac:dyDescent="0.35">
      <c r="L12" s="12"/>
      <c r="M12" s="12"/>
      <c r="N12" s="12"/>
    </row>
    <row r="13" spans="2:18" x14ac:dyDescent="0.35">
      <c r="L13" s="42" t="s">
        <v>232</v>
      </c>
      <c r="M13" s="42" t="s">
        <v>156</v>
      </c>
      <c r="N13" s="98" cm="1">
        <f t="array" ref="N13" xml:space="preserve"> _xlfn.IFS(M7=L28,M28*N26,M7=L29,M29*N23,M7=L30,M30*N24)</f>
        <v>1.9547999999999999</v>
      </c>
    </row>
    <row r="14" spans="2:18" x14ac:dyDescent="0.35">
      <c r="B14" s="45" t="s">
        <v>33</v>
      </c>
      <c r="C14" s="45" t="s">
        <v>34</v>
      </c>
      <c r="D14" s="46">
        <f>2*D7*D9*D11</f>
        <v>0</v>
      </c>
      <c r="E14" s="41"/>
      <c r="G14" s="45" t="s">
        <v>33</v>
      </c>
      <c r="H14" s="45" t="s">
        <v>34</v>
      </c>
      <c r="I14" s="46">
        <f>2*I7*I9*I11</f>
        <v>0</v>
      </c>
      <c r="L14" s="12"/>
      <c r="M14" s="12"/>
      <c r="N14" s="12"/>
    </row>
    <row r="15" spans="2:18" x14ac:dyDescent="0.35">
      <c r="L15" s="42" t="s">
        <v>233</v>
      </c>
      <c r="M15" s="42" t="s">
        <v>21</v>
      </c>
      <c r="N15" s="134"/>
    </row>
    <row r="16" spans="2:18" x14ac:dyDescent="0.35">
      <c r="L16" s="42" t="s">
        <v>234</v>
      </c>
      <c r="M16" s="42" t="s">
        <v>21</v>
      </c>
      <c r="N16" s="135"/>
    </row>
    <row r="18" spans="2:15" x14ac:dyDescent="0.35">
      <c r="B18" s="84" t="s">
        <v>184</v>
      </c>
      <c r="C18" s="84"/>
      <c r="D18" s="84"/>
    </row>
    <row r="19" spans="2:15" x14ac:dyDescent="0.35">
      <c r="L19" s="45" t="s">
        <v>163</v>
      </c>
    </row>
    <row r="20" spans="2:15" x14ac:dyDescent="0.35">
      <c r="B20" s="42" t="s">
        <v>235</v>
      </c>
      <c r="C20" s="42" t="s">
        <v>34</v>
      </c>
      <c r="D20" s="44">
        <f>$D$14</f>
        <v>0</v>
      </c>
      <c r="M20" s="54" t="s">
        <v>194</v>
      </c>
      <c r="N20" s="54" t="s">
        <v>195</v>
      </c>
      <c r="O20" s="54" t="s">
        <v>196</v>
      </c>
    </row>
    <row r="21" spans="2:15" x14ac:dyDescent="0.35">
      <c r="B21" s="42" t="s">
        <v>236</v>
      </c>
      <c r="C21" s="42" t="s">
        <v>34</v>
      </c>
      <c r="D21" s="44">
        <f>$I$14</f>
        <v>0</v>
      </c>
      <c r="L21" s="45" t="s">
        <v>168</v>
      </c>
      <c r="M21" s="41" t="s">
        <v>169</v>
      </c>
      <c r="N21" s="41" t="s">
        <v>170</v>
      </c>
      <c r="O21" s="41" t="s">
        <v>171</v>
      </c>
    </row>
    <row r="22" spans="2:15" x14ac:dyDescent="0.35">
      <c r="L22" s="42" t="s">
        <v>172</v>
      </c>
      <c r="M22" s="136">
        <v>1</v>
      </c>
      <c r="N22" s="136">
        <v>1.8</v>
      </c>
      <c r="O22" s="136">
        <v>1.5</v>
      </c>
    </row>
    <row r="23" spans="2:15" x14ac:dyDescent="0.35">
      <c r="L23" s="42" t="s">
        <v>173</v>
      </c>
      <c r="M23" s="136">
        <v>1</v>
      </c>
      <c r="N23" s="136">
        <v>1.6</v>
      </c>
      <c r="O23" s="136">
        <v>1.4</v>
      </c>
    </row>
    <row r="24" spans="2:15" x14ac:dyDescent="0.35">
      <c r="B24" s="45" t="s">
        <v>52</v>
      </c>
      <c r="C24" s="45" t="s">
        <v>34</v>
      </c>
      <c r="D24" s="48">
        <f>$D$20-$D$21</f>
        <v>0</v>
      </c>
      <c r="L24" s="42" t="s">
        <v>175</v>
      </c>
      <c r="M24" s="136">
        <v>1</v>
      </c>
      <c r="N24" s="136">
        <v>1.25</v>
      </c>
      <c r="O24" s="136">
        <v>1.1000000000000001</v>
      </c>
    </row>
    <row r="25" spans="2:15" x14ac:dyDescent="0.35">
      <c r="C25" s="45" t="s">
        <v>54</v>
      </c>
      <c r="D25" s="48">
        <f>D24/1000</f>
        <v>0</v>
      </c>
      <c r="L25" s="42" t="s">
        <v>177</v>
      </c>
      <c r="M25" s="136">
        <v>1</v>
      </c>
      <c r="N25" s="136">
        <v>1.1499999999999999</v>
      </c>
      <c r="O25" s="136">
        <v>1</v>
      </c>
    </row>
    <row r="26" spans="2:15" x14ac:dyDescent="0.35">
      <c r="L26" s="42" t="s">
        <v>179</v>
      </c>
      <c r="M26" s="136">
        <v>1</v>
      </c>
      <c r="N26" s="136">
        <v>1.2</v>
      </c>
      <c r="O26" s="136">
        <v>1.05</v>
      </c>
    </row>
    <row r="27" spans="2:15" x14ac:dyDescent="0.35">
      <c r="D27" s="42"/>
      <c r="I27" s="42"/>
    </row>
    <row r="28" spans="2:15" x14ac:dyDescent="0.35">
      <c r="L28" s="42" t="s">
        <v>143</v>
      </c>
      <c r="M28" s="73">
        <v>1.629</v>
      </c>
      <c r="N28" s="42" t="s">
        <v>180</v>
      </c>
      <c r="O28" s="91" t="s">
        <v>181</v>
      </c>
    </row>
    <row r="29" spans="2:15" x14ac:dyDescent="0.35">
      <c r="D29" s="42"/>
      <c r="I29" s="42"/>
      <c r="L29" s="42" t="s">
        <v>182</v>
      </c>
      <c r="M29" s="42">
        <v>1.66</v>
      </c>
      <c r="N29" s="42" t="s">
        <v>180</v>
      </c>
      <c r="O29" s="91" t="s">
        <v>181</v>
      </c>
    </row>
    <row r="30" spans="2:15" x14ac:dyDescent="0.35">
      <c r="D30" s="42"/>
      <c r="I30" s="42"/>
      <c r="L30" s="12" t="s">
        <v>183</v>
      </c>
      <c r="M30" s="12">
        <v>1.55</v>
      </c>
      <c r="N30" s="42" t="s">
        <v>180</v>
      </c>
      <c r="O30" s="91" t="s">
        <v>181</v>
      </c>
    </row>
    <row r="32" spans="2:15" ht="15" customHeight="1" x14ac:dyDescent="0.35"/>
    <row r="33" spans="4:15" ht="30" customHeight="1" x14ac:dyDescent="0.35">
      <c r="D33" s="42"/>
      <c r="I33" s="42"/>
      <c r="L33" s="100"/>
      <c r="M33" s="100"/>
      <c r="N33" s="100"/>
      <c r="O33" s="100"/>
    </row>
    <row r="34" spans="4:15" x14ac:dyDescent="0.35">
      <c r="D34" s="42"/>
      <c r="I34" s="42"/>
      <c r="L34" s="100"/>
      <c r="M34" s="100"/>
      <c r="N34" s="100"/>
      <c r="O34" s="100"/>
    </row>
    <row r="35" spans="4:15" x14ac:dyDescent="0.35">
      <c r="L35" s="100"/>
      <c r="M35" s="100"/>
      <c r="N35" s="100"/>
      <c r="O35" s="100"/>
    </row>
    <row r="36" spans="4:15" x14ac:dyDescent="0.35">
      <c r="L36" s="100"/>
      <c r="M36" s="100"/>
      <c r="N36" s="100"/>
      <c r="O36" s="100"/>
    </row>
    <row r="37" spans="4:15" x14ac:dyDescent="0.35">
      <c r="L37" s="100"/>
      <c r="M37" s="100"/>
      <c r="N37" s="100"/>
      <c r="O37" s="100"/>
    </row>
    <row r="38" spans="4:15" x14ac:dyDescent="0.35">
      <c r="L38" s="100"/>
      <c r="M38" s="100"/>
      <c r="N38" s="100"/>
      <c r="O38" s="100"/>
    </row>
  </sheetData>
  <sheetProtection algorithmName="SHA-512" hashValue="vcdYJrgnrLuYpz/dxP6dD4J37RxlzXC0CbNjKwlRa3X2rKfyeiNTo5EU9f0VwgThid8ljAN39jIJcmT7OlgrrQ==" saltValue="GYFmPOpljTe3QPtNbbRzYg==" spinCount="100000" sheet="1" objects="1" scenarios="1"/>
  <mergeCells count="4">
    <mergeCell ref="L5:N5"/>
    <mergeCell ref="B5:D5"/>
    <mergeCell ref="G5:I5"/>
    <mergeCell ref="M7:N7"/>
  </mergeCells>
  <phoneticPr fontId="15" type="noConversion"/>
  <dataValidations count="1">
    <dataValidation type="list" errorStyle="warning" showErrorMessage="1" errorTitle="Ugyldig massevalg" error="Vennligst velg en massetype fra lista" promptTitle="Masse" prompt="Velg type stedlige masser" sqref="M7 O7" xr:uid="{9C5DA94E-F7F0-4D89-8FDB-371061FA1436}">
      <formula1>$R$7:$R$9</formula1>
    </dataValidation>
  </dataValidation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0092B-2FA1-4C9D-8C7C-9A046FD8259E}">
  <sheetPr>
    <tabColor theme="4" tint="0.59999389629810485"/>
  </sheetPr>
  <dimension ref="B2:N29"/>
  <sheetViews>
    <sheetView showGridLines="0" zoomScaleNormal="100" workbookViewId="0">
      <selection activeCell="J22" sqref="J22"/>
    </sheetView>
  </sheetViews>
  <sheetFormatPr defaultColWidth="10" defaultRowHeight="14.5" x14ac:dyDescent="0.35"/>
  <cols>
    <col min="1" max="1" width="10" style="12"/>
    <col min="2" max="2" width="69" style="12" bestFit="1" customWidth="1"/>
    <col min="3" max="3" width="9.81640625" style="12" bestFit="1" customWidth="1"/>
    <col min="4" max="4" width="16" style="12" bestFit="1" customWidth="1"/>
    <col min="5" max="5" width="10" style="12"/>
    <col min="6" max="6" width="9.453125" style="12" bestFit="1" customWidth="1"/>
    <col min="7" max="7" width="11" style="12" bestFit="1" customWidth="1"/>
    <col min="8" max="8" width="27.81640625" style="12" bestFit="1" customWidth="1"/>
    <col min="9" max="9" width="3.453125" style="12" customWidth="1"/>
    <col min="10" max="16384" width="10" style="12"/>
  </cols>
  <sheetData>
    <row r="2" spans="2:14" x14ac:dyDescent="0.35">
      <c r="B2" s="36" t="s">
        <v>237</v>
      </c>
      <c r="C2" s="37"/>
      <c r="D2" s="38"/>
      <c r="F2" s="163" t="s">
        <v>238</v>
      </c>
      <c r="G2" s="164"/>
      <c r="N2" s="92"/>
    </row>
    <row r="3" spans="2:14" x14ac:dyDescent="0.35">
      <c r="N3" s="92"/>
    </row>
    <row r="4" spans="2:14" x14ac:dyDescent="0.25">
      <c r="B4" s="23" t="s">
        <v>239</v>
      </c>
      <c r="C4" s="24" t="s">
        <v>240</v>
      </c>
      <c r="D4" s="25" t="s">
        <v>241</v>
      </c>
      <c r="F4" s="32">
        <f>C5*C18 + C6*C19 + C7*C20</f>
        <v>3.0132000000000003</v>
      </c>
      <c r="G4" s="33" t="s">
        <v>32</v>
      </c>
      <c r="H4" s="34" t="s">
        <v>242</v>
      </c>
      <c r="N4" s="92"/>
    </row>
    <row r="5" spans="2:14" x14ac:dyDescent="0.35">
      <c r="B5" s="26" t="s">
        <v>243</v>
      </c>
      <c r="C5" s="27">
        <f>100%-C8</f>
        <v>0.9</v>
      </c>
      <c r="D5" s="28" t="s">
        <v>244</v>
      </c>
      <c r="H5" s="34"/>
      <c r="N5" s="19" t="s">
        <v>245</v>
      </c>
    </row>
    <row r="6" spans="2:14" x14ac:dyDescent="0.35">
      <c r="B6" s="26" t="s">
        <v>246</v>
      </c>
      <c r="C6" s="27">
        <v>0</v>
      </c>
      <c r="D6" s="28" t="s">
        <v>244</v>
      </c>
      <c r="F6" s="32">
        <f>C5*C21 + C6*C22 + C7*C23</f>
        <v>2.403</v>
      </c>
      <c r="G6" s="33" t="s">
        <v>32</v>
      </c>
      <c r="H6" s="34" t="s">
        <v>247</v>
      </c>
      <c r="N6" s="92" t="s">
        <v>248</v>
      </c>
    </row>
    <row r="7" spans="2:14" x14ac:dyDescent="0.35">
      <c r="B7" s="26" t="s">
        <v>249</v>
      </c>
      <c r="C7" s="27">
        <v>0.1</v>
      </c>
      <c r="D7" s="28" t="s">
        <v>244</v>
      </c>
      <c r="N7" s="92"/>
    </row>
    <row r="8" spans="2:14" x14ac:dyDescent="0.25">
      <c r="B8" s="23" t="s">
        <v>250</v>
      </c>
      <c r="C8" s="29">
        <f>C6+C7</f>
        <v>0.1</v>
      </c>
      <c r="D8" s="30"/>
      <c r="G8" s="21"/>
      <c r="N8" s="92"/>
    </row>
    <row r="9" spans="2:14" x14ac:dyDescent="0.35">
      <c r="G9" s="21"/>
      <c r="N9" s="92"/>
    </row>
    <row r="10" spans="2:14" x14ac:dyDescent="0.25">
      <c r="B10" s="23" t="s">
        <v>251</v>
      </c>
      <c r="C10" s="24" t="s">
        <v>240</v>
      </c>
      <c r="D10" s="25" t="s">
        <v>241</v>
      </c>
      <c r="F10" s="32">
        <f>C11*C18 + C12*C19 + C13*C20</f>
        <v>2.8971000000000005</v>
      </c>
      <c r="G10" s="33" t="s">
        <v>32</v>
      </c>
      <c r="H10" s="34" t="s">
        <v>252</v>
      </c>
      <c r="N10" s="92"/>
    </row>
    <row r="11" spans="2:14" x14ac:dyDescent="0.35">
      <c r="B11" s="26" t="s">
        <v>243</v>
      </c>
      <c r="C11" s="27">
        <f>100%-C14</f>
        <v>0.83000000000000007</v>
      </c>
      <c r="D11" s="28" t="s">
        <v>244</v>
      </c>
      <c r="N11" s="92"/>
    </row>
    <row r="12" spans="2:14" x14ac:dyDescent="0.35">
      <c r="B12" s="26" t="s">
        <v>246</v>
      </c>
      <c r="C12" s="27">
        <v>4.4999999999999998E-2</v>
      </c>
      <c r="D12" s="28" t="s">
        <v>244</v>
      </c>
      <c r="F12" s="32">
        <f>C11*C21 + C12*C22 + C13*C23</f>
        <v>2.2161</v>
      </c>
      <c r="G12" s="33" t="s">
        <v>32</v>
      </c>
      <c r="H12" s="34" t="s">
        <v>253</v>
      </c>
      <c r="N12" s="92"/>
    </row>
    <row r="13" spans="2:14" x14ac:dyDescent="0.35">
      <c r="B13" s="26" t="s">
        <v>249</v>
      </c>
      <c r="C13" s="27">
        <v>0.125</v>
      </c>
      <c r="D13" s="28" t="s">
        <v>244</v>
      </c>
      <c r="N13" s="92"/>
    </row>
    <row r="14" spans="2:14" x14ac:dyDescent="0.25">
      <c r="B14" s="23" t="s">
        <v>254</v>
      </c>
      <c r="C14" s="29">
        <f>C12+C13</f>
        <v>0.16999999999999998</v>
      </c>
      <c r="D14" s="30"/>
      <c r="N14" s="92"/>
    </row>
    <row r="15" spans="2:14" x14ac:dyDescent="0.35">
      <c r="B15" s="26" t="s">
        <v>255</v>
      </c>
      <c r="C15" s="27">
        <f>C14 + IF(C13&gt;12.5%,C13-12.5%,0)</f>
        <v>0.16999999999999998</v>
      </c>
      <c r="D15" s="28"/>
      <c r="F15" s="39">
        <v>0.85</v>
      </c>
      <c r="H15" s="34" t="s">
        <v>256</v>
      </c>
      <c r="N15" s="92"/>
    </row>
    <row r="16" spans="2:14" x14ac:dyDescent="0.35">
      <c r="F16" s="39">
        <v>0.34</v>
      </c>
      <c r="H16" s="34" t="s">
        <v>257</v>
      </c>
      <c r="N16" s="92"/>
    </row>
    <row r="17" spans="2:14" x14ac:dyDescent="0.25">
      <c r="B17" s="23" t="s">
        <v>258</v>
      </c>
      <c r="C17" s="165" t="s">
        <v>238</v>
      </c>
      <c r="D17" s="165"/>
      <c r="F17" s="12">
        <v>10.7</v>
      </c>
      <c r="G17" s="12" t="s">
        <v>259</v>
      </c>
      <c r="H17" s="34" t="s">
        <v>260</v>
      </c>
      <c r="N17" s="92"/>
    </row>
    <row r="18" spans="2:14" ht="16.5" x14ac:dyDescent="0.35">
      <c r="B18" s="26" t="s">
        <v>261</v>
      </c>
      <c r="C18" s="31">
        <v>3.24</v>
      </c>
      <c r="D18" s="26" t="s">
        <v>32</v>
      </c>
      <c r="F18" s="21">
        <f xml:space="preserve"> (F17*F16)/F15</f>
        <v>4.28</v>
      </c>
      <c r="G18" s="12" t="s">
        <v>262</v>
      </c>
      <c r="H18" s="34" t="s">
        <v>263</v>
      </c>
      <c r="N18" s="92"/>
    </row>
    <row r="19" spans="2:14" x14ac:dyDescent="0.35">
      <c r="B19" s="26" t="s">
        <v>246</v>
      </c>
      <c r="C19" s="31">
        <v>1.92</v>
      </c>
      <c r="D19" s="26" t="s">
        <v>32</v>
      </c>
    </row>
    <row r="20" spans="2:14" x14ac:dyDescent="0.35">
      <c r="B20" s="26" t="s">
        <v>249</v>
      </c>
      <c r="C20" s="31">
        <v>0.97199999999999998</v>
      </c>
      <c r="D20" s="26" t="s">
        <v>32</v>
      </c>
      <c r="F20" s="93">
        <v>1.8000000000000002E-2</v>
      </c>
      <c r="G20" s="94" t="s">
        <v>264</v>
      </c>
      <c r="H20" s="34" t="s">
        <v>265</v>
      </c>
    </row>
    <row r="21" spans="2:14" x14ac:dyDescent="0.35">
      <c r="B21" s="26" t="s">
        <v>266</v>
      </c>
      <c r="C21" s="31">
        <v>2.67</v>
      </c>
      <c r="D21" s="26" t="s">
        <v>32</v>
      </c>
    </row>
    <row r="22" spans="2:14" x14ac:dyDescent="0.35">
      <c r="B22" s="26" t="s">
        <v>267</v>
      </c>
      <c r="C22" s="31">
        <v>0</v>
      </c>
      <c r="D22" s="26" t="s">
        <v>32</v>
      </c>
      <c r="F22" s="32">
        <v>0.97199999999999998</v>
      </c>
      <c r="G22" s="33" t="s">
        <v>32</v>
      </c>
      <c r="H22" s="34" t="s">
        <v>268</v>
      </c>
    </row>
    <row r="23" spans="2:14" x14ac:dyDescent="0.35">
      <c r="B23" s="26" t="s">
        <v>269</v>
      </c>
      <c r="C23" s="31">
        <v>0</v>
      </c>
      <c r="D23" s="26" t="s">
        <v>32</v>
      </c>
    </row>
    <row r="24" spans="2:14" x14ac:dyDescent="0.35">
      <c r="B24" s="26" t="s">
        <v>270</v>
      </c>
      <c r="C24" s="31">
        <v>2.3777E-2</v>
      </c>
      <c r="D24" s="26" t="s">
        <v>217</v>
      </c>
      <c r="F24" s="95">
        <f>F10*F20</f>
        <v>5.2147800000000015E-2</v>
      </c>
      <c r="G24" s="96" t="s">
        <v>13</v>
      </c>
      <c r="H24" s="92" t="s">
        <v>271</v>
      </c>
    </row>
    <row r="25" spans="2:14" x14ac:dyDescent="0.35">
      <c r="F25" s="95">
        <f>F20*F22</f>
        <v>1.7496000000000001E-2</v>
      </c>
      <c r="G25" s="96" t="s">
        <v>13</v>
      </c>
      <c r="H25" s="92" t="s">
        <v>272</v>
      </c>
    </row>
    <row r="26" spans="2:14" x14ac:dyDescent="0.35">
      <c r="B26" s="40"/>
      <c r="C26" s="40"/>
      <c r="D26" s="40"/>
      <c r="F26" s="95">
        <f>'Diverse faktorer'!H40*Drivstoff!F20</f>
        <v>2.3112000000000001E-2</v>
      </c>
      <c r="G26" s="96" t="s">
        <v>13</v>
      </c>
      <c r="H26" s="92" t="s">
        <v>273</v>
      </c>
    </row>
    <row r="27" spans="2:14" x14ac:dyDescent="0.35">
      <c r="B27" s="166" t="s">
        <v>274</v>
      </c>
      <c r="C27" s="166"/>
      <c r="D27" s="166"/>
    </row>
    <row r="29" spans="2:14" x14ac:dyDescent="0.35">
      <c r="B29" s="19" t="s">
        <v>275</v>
      </c>
    </row>
  </sheetData>
  <sheetProtection algorithmName="SHA-512" hashValue="sAdUVPZ/S1Bub/I7EASCYGdnK+81fNyfd5HdQA3kmWlqNygKZY0jaBWIXgfAgmn3nP1wWwg7W9JIi1cLoGK53A==" saltValue="dOLoO+AeVFy3/ZcBIRaoKA==" spinCount="100000" sheet="1" objects="1" scenarios="1"/>
  <mergeCells count="3">
    <mergeCell ref="F2:G2"/>
    <mergeCell ref="C17:D17"/>
    <mergeCell ref="B27:D27"/>
  </mergeCells>
  <hyperlinks>
    <hyperlink ref="B29" r:id="rId1" location="KAPITTEL_5" display="https://lovdata.no/dokument/SF/forskrift/2004-06-01-922/KAPITTEL_5 - KAPITTEL_5" xr:uid="{49EF153F-A732-476D-9D9C-F229ECC9C3BA}"/>
    <hyperlink ref="N5" r:id="rId2" display="https://www.sintefbok.no/book/index/1322/utslippsfri_byggeprosess_i_oslo_konsekvensutredning" xr:uid="{7D6356CB-C584-4970-A357-FDE34CD7E2DE}"/>
  </hyperlinks>
  <pageMargins left="0.7" right="0.7" top="0.75" bottom="0.75" header="0.3" footer="0.3"/>
  <pageSetup paperSize="9"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5CB3064E5C8849A660DAACB36A6E0F" ma:contentTypeVersion="18" ma:contentTypeDescription="Opprett et nytt dokument." ma:contentTypeScope="" ma:versionID="637e8c09a344a7e548be9f625e44621a">
  <xsd:schema xmlns:xsd="http://www.w3.org/2001/XMLSchema" xmlns:xs="http://www.w3.org/2001/XMLSchema" xmlns:p="http://schemas.microsoft.com/office/2006/metadata/properties" xmlns:ns2="7197c4af-b929-4ba0-88d8-4e6bc5bfaa8e" xmlns:ns3="d27628e0-46cf-4a91-86d9-860258435d88" xmlns:ns4="http://schemas.microsoft.com/sharepoint/v4" targetNamespace="http://schemas.microsoft.com/office/2006/metadata/properties" ma:root="true" ma:fieldsID="707a8a6d976f959a1def0cbe9493d757" ns2:_="" ns3:_="" ns4:_="">
    <xsd:import namespace="7197c4af-b929-4ba0-88d8-4e6bc5bfaa8e"/>
    <xsd:import namespace="d27628e0-46cf-4a91-86d9-860258435d8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IconOverlay" minOccurs="0"/>
                <xsd:element ref="ns2:SharedWithUsers" minOccurs="0"/>
                <xsd:element ref="ns2:SharedWithDetail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97c4af-b929-4ba0-88d8-4e6bc5bfaa8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erdi" ma:description="Verdien for dokument-IDen som er tilordnet elementet." ma:internalName="_dlc_DocId" ma:readOnly="true">
      <xsd:simpleType>
        <xsd:restriction base="dms:Text"/>
      </xsd:simpleType>
    </xsd:element>
    <xsd:element name="_dlc_DocIdUrl" ma:index="9" nillable="true" ma:displayName="Dokument-ID" ma:description="Fast kobling til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27f5dc73-2191-43c2-bf08-b0a6360eab7f}" ma:internalName="TaxCatchAll" ma:showField="CatchAllData" ma:web="7197c4af-b929-4ba0-88d8-4e6bc5bfaa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7628e0-46cf-4a91-86d9-860258435d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4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Bildemerkelapper" ma:readOnly="false" ma:fieldId="{5cf76f15-5ced-4ddc-b409-7134ff3c332f}" ma:taxonomyMulti="true" ma:sspId="28870869-08ee-44b2-a422-d221b67675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27628e0-46cf-4a91-86d9-860258435d88">
      <Terms xmlns="http://schemas.microsoft.com/office/infopath/2007/PartnerControls"/>
    </lcf76f155ced4ddcb4097134ff3c332f>
    <TaxCatchAll xmlns="7197c4af-b929-4ba0-88d8-4e6bc5bfaa8e" xsi:nil="true"/>
    <IconOverlay xmlns="http://schemas.microsoft.com/sharepoint/v4" xsi:nil="true"/>
    <_dlc_DocId xmlns="7197c4af-b929-4ba0-88d8-4e6bc5bfaa8e">XMKPW47W24HK-1914485411-26239</_dlc_DocId>
    <_dlc_DocIdUrl xmlns="7197c4af-b929-4ba0-88d8-4e6bc5bfaa8e">
      <Url>https://miljodir.sharepoint.com/sites/EPiServerDokumenter/_layouts/15/DocIdRedir.aspx?ID=XMKPW47W24HK-1914485411-26239</Url>
      <Description>XMKPW47W24HK-1914485411-26239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ABE834C-0BC0-49EA-B6FB-51CD031341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B43D01-0B34-4F01-A7E3-A83570C2B681}"/>
</file>

<file path=customXml/itemProps3.xml><?xml version="1.0" encoding="utf-8"?>
<ds:datastoreItem xmlns:ds="http://schemas.openxmlformats.org/officeDocument/2006/customXml" ds:itemID="{D09AA66C-A55D-4AD8-8D28-B1BE930E00FC}">
  <ds:schemaRefs>
    <ds:schemaRef ds:uri="http://schemas.microsoft.com/office/2006/metadata/properties"/>
    <ds:schemaRef ds:uri="http://schemas.microsoft.com/office/infopath/2007/PartnerControls"/>
    <ds:schemaRef ds:uri="cc5abbbf-dc2e-4b77-8bc8-a98a582fd87d"/>
    <ds:schemaRef ds:uri="94c28d98-8b7c-46a8-a78c-092704c32e68"/>
  </ds:schemaRefs>
</ds:datastoreItem>
</file>

<file path=customXml/itemProps4.xml><?xml version="1.0" encoding="utf-8"?>
<ds:datastoreItem xmlns:ds="http://schemas.openxmlformats.org/officeDocument/2006/customXml" ds:itemID="{4EF817A7-C8B2-4EAF-A421-7FD10AD764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Brukerveiledning</vt:lpstr>
      <vt:lpstr>Asfalt</vt:lpstr>
      <vt:lpstr>Overskuddsmasser</vt:lpstr>
      <vt:lpstr>Rør</vt:lpstr>
      <vt:lpstr>Betong</vt:lpstr>
      <vt:lpstr>Lavkvalitetspukk</vt:lpstr>
      <vt:lpstr>Byggeplass</vt:lpstr>
      <vt:lpstr>Massetransport</vt:lpstr>
      <vt:lpstr>Drivstoff</vt:lpstr>
      <vt:lpstr>Diverse faktorer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Heidi Snemyr</dc:creator>
  <cp:keywords/>
  <dc:description/>
  <cp:lastModifiedBy>Lene Grimsrud</cp:lastModifiedBy>
  <cp:revision/>
  <dcterms:created xsi:type="dcterms:W3CDTF">2015-06-05T18:17:20Z</dcterms:created>
  <dcterms:modified xsi:type="dcterms:W3CDTF">2023-06-30T06:54:19Z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0x010100595CB3064E5C8849A660DAACB36A6E0F</vt:lpwstr>
  </property>
  <property fmtid="{D5CDD505-2E9C-101B-9397-08002B2CF9AE}" pid="3" name="MediaServiceImageTags">
    <vt:lpwstr/>
  </property>
  <property fmtid="{D5CDD505-2E9C-101B-9397-08002B2CF9AE}" pid="4" name="_dlc_DocIdItemGuid">
    <vt:lpwstr>42eb7860-4c63-4d94-862f-6d661e6f95a3</vt:lpwstr>
  </property>
</Properties>
</file>